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조미소\Desktop\"/>
    </mc:Choice>
  </mc:AlternateContent>
  <xr:revisionPtr revIDLastSave="0" documentId="13_ncr:1_{D482CC18-2CE1-4103-B5C5-2BE5FB148D9C}" xr6:coauthVersionLast="47" xr6:coauthVersionMax="47" xr10:uidLastSave="{00000000-0000-0000-0000-000000000000}"/>
  <bookViews>
    <workbookView xWindow="-120" yWindow="-120" windowWidth="29040" windowHeight="15840" xr2:uid="{FAD82090-B732-49AF-A785-DBC2A7C455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7" i="1" l="1"/>
  <c r="K56" i="1" s="1"/>
  <c r="K55" i="1" s="1"/>
  <c r="H56" i="1"/>
  <c r="H55" i="1"/>
  <c r="K54" i="1"/>
  <c r="K53" i="1"/>
  <c r="K52" i="1" s="1"/>
  <c r="H53" i="1"/>
  <c r="H52" i="1" s="1"/>
  <c r="K51" i="1"/>
  <c r="H51" i="1"/>
  <c r="H50" i="1"/>
  <c r="K50" i="1" s="1"/>
  <c r="H49" i="1"/>
  <c r="K49" i="1" s="1"/>
  <c r="H48" i="1"/>
  <c r="K48" i="1" s="1"/>
  <c r="H47" i="1"/>
  <c r="H45" i="1" s="1"/>
  <c r="K46" i="1"/>
  <c r="H44" i="1"/>
  <c r="K44" i="1" s="1"/>
  <c r="H43" i="1"/>
  <c r="K43" i="1" s="1"/>
  <c r="H42" i="1"/>
  <c r="H39" i="1" s="1"/>
  <c r="K41" i="1"/>
  <c r="K40" i="1"/>
  <c r="H38" i="1"/>
  <c r="K38" i="1" s="1"/>
  <c r="H37" i="1"/>
  <c r="K37" i="1" s="1"/>
  <c r="H36" i="1"/>
  <c r="K36" i="1" s="1"/>
  <c r="K35" i="1"/>
  <c r="H34" i="1"/>
  <c r="K34" i="1" s="1"/>
  <c r="H33" i="1"/>
  <c r="H30" i="1" s="1"/>
  <c r="H29" i="1" s="1"/>
  <c r="K32" i="1"/>
  <c r="H32" i="1"/>
  <c r="K31" i="1"/>
  <c r="H31" i="1"/>
  <c r="D31" i="1"/>
  <c r="H28" i="1"/>
  <c r="H27" i="1" s="1"/>
  <c r="H22" i="1" s="1"/>
  <c r="K26" i="1"/>
  <c r="K25" i="1"/>
  <c r="H25" i="1"/>
  <c r="D25" i="1"/>
  <c r="K24" i="1"/>
  <c r="D24" i="1"/>
  <c r="K23" i="1"/>
  <c r="H23" i="1"/>
  <c r="D22" i="1"/>
  <c r="D18" i="1" s="1"/>
  <c r="D17" i="1" s="1"/>
  <c r="K21" i="1"/>
  <c r="H21" i="1"/>
  <c r="K20" i="1"/>
  <c r="H20" i="1"/>
  <c r="H19" i="1"/>
  <c r="K19" i="1" s="1"/>
  <c r="H18" i="1"/>
  <c r="K18" i="1" s="1"/>
  <c r="H17" i="1"/>
  <c r="K17" i="1" s="1"/>
  <c r="K16" i="1"/>
  <c r="H16" i="1"/>
  <c r="H15" i="1" s="1"/>
  <c r="K14" i="1"/>
  <c r="D14" i="1"/>
  <c r="K13" i="1"/>
  <c r="D13" i="1"/>
  <c r="K12" i="1"/>
  <c r="H12" i="1"/>
  <c r="H11" i="1"/>
  <c r="K11" i="1" s="1"/>
  <c r="K10" i="1"/>
  <c r="H10" i="1"/>
  <c r="D10" i="1"/>
  <c r="H9" i="1"/>
  <c r="K9" i="1" s="1"/>
  <c r="D9" i="1"/>
  <c r="H8" i="1"/>
  <c r="K8" i="1" s="1"/>
  <c r="H7" i="1"/>
  <c r="H6" i="1" s="1"/>
  <c r="D7" i="1"/>
  <c r="D6" i="1" s="1"/>
  <c r="D5" i="1" s="1"/>
  <c r="D4" i="1" s="1"/>
  <c r="K15" i="1" l="1"/>
  <c r="H5" i="1"/>
  <c r="H4" i="1" s="1"/>
  <c r="K4" i="1" s="1"/>
  <c r="K33" i="1"/>
  <c r="K30" i="1" s="1"/>
  <c r="K47" i="1"/>
  <c r="K45" i="1" s="1"/>
  <c r="K28" i="1"/>
  <c r="K27" i="1" s="1"/>
  <c r="K22" i="1" s="1"/>
  <c r="K7" i="1"/>
  <c r="K6" i="1" s="1"/>
  <c r="K5" i="1" s="1"/>
  <c r="K42" i="1"/>
  <c r="K39" i="1" s="1"/>
  <c r="K2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훈련원행정실</author>
  </authors>
  <commentList>
    <comment ref="D56" authorId="0" shapeId="0" xr:uid="{94F11445-3DFF-43DD-A4DE-75B20FA05929}">
      <text>
        <r>
          <rPr>
            <b/>
            <sz val="9"/>
            <color indexed="81"/>
            <rFont val="돋움"/>
            <family val="3"/>
            <charset val="129"/>
          </rPr>
          <t>훈련원행정실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<sst xmlns="http://schemas.openxmlformats.org/spreadsheetml/2006/main" count="100" uniqueCount="79">
  <si>
    <t>돈보스코오라토리오 2023년 세입.세출 결산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</si>
  <si>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</si>
  <si>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</si>
  <si>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</si>
  <si>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합  계</t>
    <phoneticPr fontId="4" type="noConversion"/>
  </si>
  <si>
    <t>국고</t>
    <phoneticPr fontId="4" type="noConversion"/>
  </si>
  <si>
    <t>후원</t>
    <phoneticPr fontId="6" type="noConversion"/>
  </si>
  <si>
    <t>자부담</t>
    <phoneticPr fontId="6" type="noConversion"/>
  </si>
  <si>
    <t>세입총합계</t>
    <phoneticPr fontId="4" type="noConversion"/>
  </si>
  <si>
    <t>세출총합계</t>
    <phoneticPr fontId="4" type="noConversion"/>
  </si>
  <si>
    <t>보조금</t>
    <phoneticPr fontId="4" type="noConversion"/>
  </si>
  <si>
    <t>사무비</t>
    <phoneticPr fontId="4" type="noConversion"/>
  </si>
  <si>
    <t>인건비</t>
    <phoneticPr fontId="4" type="noConversion"/>
  </si>
  <si>
    <t>국고보조금</t>
    <phoneticPr fontId="4" type="noConversion"/>
  </si>
  <si>
    <t>급여</t>
    <phoneticPr fontId="4" type="noConversion"/>
  </si>
  <si>
    <t>기타보조금(공모지원)</t>
    <phoneticPr fontId="4" type="noConversion"/>
  </si>
  <si>
    <t>제수당</t>
    <phoneticPr fontId="4" type="noConversion"/>
  </si>
  <si>
    <t>후원금수입</t>
    <phoneticPr fontId="4" type="noConversion"/>
  </si>
  <si>
    <t>퇴직금및퇴직적립금</t>
    <phoneticPr fontId="4" type="noConversion"/>
  </si>
  <si>
    <t>사회보험부담금</t>
    <phoneticPr fontId="4" type="noConversion"/>
  </si>
  <si>
    <t>지정후원금</t>
    <phoneticPr fontId="4" type="noConversion"/>
  </si>
  <si>
    <t>기타후생경비</t>
    <phoneticPr fontId="4" type="noConversion"/>
  </si>
  <si>
    <t>비지정후원금</t>
    <phoneticPr fontId="4" type="noConversion"/>
  </si>
  <si>
    <t>업무추진비</t>
    <phoneticPr fontId="4" type="noConversion"/>
  </si>
  <si>
    <t>전입금</t>
    <phoneticPr fontId="4" type="noConversion"/>
  </si>
  <si>
    <t xml:space="preserve"> </t>
    <phoneticPr fontId="4" type="noConversion"/>
  </si>
  <si>
    <t>기관운영비</t>
    <phoneticPr fontId="4" type="noConversion"/>
  </si>
  <si>
    <t>회의비</t>
    <phoneticPr fontId="4" type="noConversion"/>
  </si>
  <si>
    <t>법인전입금</t>
    <phoneticPr fontId="4" type="noConversion"/>
  </si>
  <si>
    <t>운영비</t>
    <phoneticPr fontId="4" type="noConversion"/>
  </si>
  <si>
    <t>법원</t>
    <phoneticPr fontId="6" type="noConversion"/>
  </si>
  <si>
    <t>여비</t>
    <phoneticPr fontId="4" type="noConversion"/>
  </si>
  <si>
    <t>이월금</t>
    <phoneticPr fontId="4" type="noConversion"/>
  </si>
  <si>
    <t>수용비및수수료</t>
    <phoneticPr fontId="4" type="noConversion"/>
  </si>
  <si>
    <t>공공요금</t>
    <phoneticPr fontId="4" type="noConversion"/>
  </si>
  <si>
    <t>전년도이월금(후원금)</t>
    <phoneticPr fontId="4" type="noConversion"/>
  </si>
  <si>
    <t>제세공과금</t>
    <phoneticPr fontId="4" type="noConversion"/>
  </si>
  <si>
    <t>전년도이월금(공모지원)</t>
    <phoneticPr fontId="6" type="noConversion"/>
  </si>
  <si>
    <t>차량비</t>
    <phoneticPr fontId="4" type="noConversion"/>
  </si>
  <si>
    <t>전년도이월금(법인)</t>
    <phoneticPr fontId="4" type="noConversion"/>
  </si>
  <si>
    <t>기타운영비</t>
    <phoneticPr fontId="4" type="noConversion"/>
  </si>
  <si>
    <t>전년도이월금(법인/식대)</t>
    <phoneticPr fontId="4" type="noConversion"/>
  </si>
  <si>
    <t>재산조성비</t>
    <phoneticPr fontId="4" type="noConversion"/>
  </si>
  <si>
    <t>전년도이월금(법원)</t>
    <phoneticPr fontId="4" type="noConversion"/>
  </si>
  <si>
    <t>시설비</t>
    <phoneticPr fontId="4" type="noConversion"/>
  </si>
  <si>
    <t>잡수입</t>
    <phoneticPr fontId="4" type="noConversion"/>
  </si>
  <si>
    <t>자산취득비</t>
    <phoneticPr fontId="4" type="noConversion"/>
  </si>
  <si>
    <t>기타예금이자수입(법인)</t>
    <phoneticPr fontId="4" type="noConversion"/>
  </si>
  <si>
    <t>기타예금이자수입(법원)</t>
    <phoneticPr fontId="4" type="noConversion"/>
  </si>
  <si>
    <t>시설장비유지비</t>
    <phoneticPr fontId="4" type="noConversion"/>
  </si>
  <si>
    <t>기타예금이자수입(후원)</t>
    <phoneticPr fontId="6" type="noConversion"/>
  </si>
  <si>
    <t>기타예금이자수입(공모+지원)</t>
    <phoneticPr fontId="6" type="noConversion"/>
  </si>
  <si>
    <t>사업비</t>
    <phoneticPr fontId="4" type="noConversion"/>
  </si>
  <si>
    <t>기타예금이자수입(공모+지원)/과년도지출(바보의나눔)</t>
    <phoneticPr fontId="6" type="noConversion"/>
  </si>
  <si>
    <t>생계비</t>
    <phoneticPr fontId="4" type="noConversion"/>
  </si>
  <si>
    <t>기타잡수입(법인/식대)</t>
    <phoneticPr fontId="6" type="noConversion"/>
  </si>
  <si>
    <t>수용기관경비</t>
    <phoneticPr fontId="4" type="noConversion"/>
  </si>
  <si>
    <t>기타잡수입(법인)</t>
    <phoneticPr fontId="6" type="noConversion"/>
  </si>
  <si>
    <t>피복비</t>
    <phoneticPr fontId="4" type="noConversion"/>
  </si>
  <si>
    <t>(이하생략)</t>
    <phoneticPr fontId="6" type="noConversion"/>
  </si>
  <si>
    <t>의료비</t>
    <phoneticPr fontId="4" type="noConversion"/>
  </si>
  <si>
    <t>장의비</t>
    <phoneticPr fontId="6" type="noConversion"/>
  </si>
  <si>
    <t>직업재활비</t>
    <phoneticPr fontId="4" type="noConversion"/>
  </si>
  <si>
    <t>특별급식비</t>
    <phoneticPr fontId="4" type="noConversion"/>
  </si>
  <si>
    <t>연료비</t>
    <phoneticPr fontId="4" type="noConversion"/>
  </si>
  <si>
    <t>교육비</t>
    <phoneticPr fontId="4" type="noConversion"/>
  </si>
  <si>
    <t>학용품비</t>
    <phoneticPr fontId="4" type="noConversion"/>
  </si>
  <si>
    <t>도서구입비</t>
    <phoneticPr fontId="4" type="noConversion"/>
  </si>
  <si>
    <t>학습지원비</t>
    <phoneticPr fontId="4" type="noConversion"/>
  </si>
  <si>
    <t>수학여행비</t>
    <phoneticPr fontId="4" type="noConversion"/>
  </si>
  <si>
    <t>기타교육비</t>
    <phoneticPr fontId="4" type="noConversion"/>
  </si>
  <si>
    <t>의료재활사업비</t>
    <phoneticPr fontId="4" type="noConversion"/>
  </si>
  <si>
    <t>사회심리재활사업비</t>
    <phoneticPr fontId="4" type="noConversion"/>
  </si>
  <si>
    <t>자립사업비</t>
    <phoneticPr fontId="4" type="noConversion"/>
  </si>
  <si>
    <t>지역사회네트워크사업비</t>
    <phoneticPr fontId="4" type="noConversion"/>
  </si>
  <si>
    <t>치료사업비</t>
    <phoneticPr fontId="4" type="noConversion"/>
  </si>
  <si>
    <t>정보화사업비</t>
    <phoneticPr fontId="4" type="noConversion"/>
  </si>
  <si>
    <t>과년도지출</t>
    <phoneticPr fontId="4" type="noConversion"/>
  </si>
  <si>
    <t>이월금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</si>
</sst>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22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41" fontId="0" fillId="0" borderId="0" xfId="1" applyFont="1" applyAlignment="1">
      <alignment horizontal="center" vertical="center" shrinkToFit="1"/>
    </xf>
    <xf numFmtId="41" fontId="0" fillId="0" borderId="0" xfId="1" applyFont="1">
      <alignment vertical="center"/>
    </xf>
    <xf numFmtId="41" fontId="0" fillId="0" borderId="0" xfId="1" applyFont="1" applyAlignment="1">
      <alignment vertical="center" shrinkToFit="1"/>
    </xf>
    <xf numFmtId="41" fontId="0" fillId="0" borderId="0" xfId="1" applyFont="1" applyAlignment="1">
      <alignment horizontal="center" vertical="center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/>
    </xf>
    <xf numFmtId="41" fontId="7" fillId="0" borderId="4" xfId="1" applyFont="1" applyBorder="1" applyAlignment="1">
      <alignment horizontal="center" vertical="center" shrinkToFit="1"/>
    </xf>
    <xf numFmtId="41" fontId="7" fillId="0" borderId="5" xfId="1" applyFont="1" applyBorder="1">
      <alignment vertical="center"/>
    </xf>
    <xf numFmtId="41" fontId="7" fillId="0" borderId="6" xfId="1" applyFont="1" applyBorder="1" applyAlignment="1">
      <alignment horizontal="center" vertical="center" shrinkToFit="1"/>
    </xf>
    <xf numFmtId="41" fontId="7" fillId="3" borderId="4" xfId="1" applyFont="1" applyFill="1" applyBorder="1" applyAlignment="1">
      <alignment horizontal="center" vertical="center" shrinkToFit="1"/>
    </xf>
    <xf numFmtId="41" fontId="7" fillId="0" borderId="4" xfId="1" applyFont="1" applyBorder="1" applyAlignment="1">
      <alignment horizontal="center" vertical="center" shrinkToFit="1"/>
    </xf>
    <xf numFmtId="41" fontId="5" fillId="4" borderId="7" xfId="1" applyFont="1" applyFill="1" applyBorder="1" applyAlignment="1">
      <alignment horizontal="center" vertical="center" shrinkToFit="1"/>
    </xf>
    <xf numFmtId="41" fontId="5" fillId="4" borderId="8" xfId="1" applyFont="1" applyFill="1" applyBorder="1">
      <alignment vertical="center"/>
    </xf>
    <xf numFmtId="41" fontId="5" fillId="4" borderId="9" xfId="1" applyFont="1" applyFill="1" applyBorder="1" applyAlignment="1">
      <alignment vertical="center" shrinkToFit="1"/>
    </xf>
    <xf numFmtId="41" fontId="5" fillId="4" borderId="7" xfId="1" applyFont="1" applyFill="1" applyBorder="1" applyAlignment="1">
      <alignment vertical="center" shrinkToFit="1"/>
    </xf>
    <xf numFmtId="41" fontId="0" fillId="0" borderId="7" xfId="1" applyFont="1" applyBorder="1" applyAlignment="1">
      <alignment horizontal="center" vertical="center" shrinkToFit="1"/>
    </xf>
    <xf numFmtId="41" fontId="2" fillId="5" borderId="7" xfId="1" applyFont="1" applyFill="1" applyBorder="1" applyAlignment="1">
      <alignment horizontal="center" vertical="center" shrinkToFit="1"/>
    </xf>
    <xf numFmtId="41" fontId="2" fillId="5" borderId="8" xfId="1" applyFont="1" applyFill="1" applyBorder="1">
      <alignment vertical="center"/>
    </xf>
    <xf numFmtId="41" fontId="0" fillId="0" borderId="9" xfId="1" applyFont="1" applyBorder="1" applyAlignment="1">
      <alignment vertical="center" shrinkToFit="1"/>
    </xf>
    <xf numFmtId="41" fontId="5" fillId="5" borderId="7" xfId="1" applyFont="1" applyFill="1" applyBorder="1" applyAlignment="1">
      <alignment vertical="center" shrinkToFit="1"/>
    </xf>
    <xf numFmtId="41" fontId="5" fillId="5" borderId="7" xfId="1" applyFont="1" applyFill="1" applyBorder="1" applyAlignment="1">
      <alignment horizontal="center" vertical="center" shrinkToFit="1"/>
    </xf>
    <xf numFmtId="41" fontId="5" fillId="5" borderId="7" xfId="1" applyFont="1" applyFill="1" applyBorder="1" applyAlignment="1">
      <alignment horizontal="center" vertical="center"/>
    </xf>
    <xf numFmtId="41" fontId="0" fillId="3" borderId="7" xfId="1" applyFont="1" applyFill="1" applyBorder="1" applyAlignment="1">
      <alignment horizontal="center" vertical="center" shrinkToFit="1"/>
    </xf>
    <xf numFmtId="41" fontId="2" fillId="3" borderId="8" xfId="1" applyFont="1" applyFill="1" applyBorder="1">
      <alignment vertical="center"/>
    </xf>
    <xf numFmtId="41" fontId="0" fillId="0" borderId="7" xfId="1" applyFont="1" applyBorder="1" applyAlignment="1">
      <alignment vertical="center" shrinkToFit="1"/>
    </xf>
    <xf numFmtId="41" fontId="0" fillId="0" borderId="7" xfId="1" applyFont="1" applyBorder="1" applyAlignment="1">
      <alignment horizontal="center" vertical="center"/>
    </xf>
    <xf numFmtId="41" fontId="0" fillId="3" borderId="8" xfId="1" applyFont="1" applyFill="1" applyBorder="1">
      <alignment vertical="center"/>
    </xf>
    <xf numFmtId="41" fontId="5" fillId="4" borderId="7" xfId="1" applyFont="1" applyFill="1" applyBorder="1" applyAlignment="1">
      <alignment horizontal="center" vertical="center"/>
    </xf>
    <xf numFmtId="41" fontId="0" fillId="0" borderId="8" xfId="1" applyFont="1" applyBorder="1" applyAlignment="1">
      <alignment horizontal="center" vertical="center" shrinkToFit="1"/>
    </xf>
    <xf numFmtId="41" fontId="0" fillId="0" borderId="8" xfId="1" applyFont="1" applyBorder="1">
      <alignment vertical="center"/>
    </xf>
    <xf numFmtId="41" fontId="2" fillId="4" borderId="7" xfId="1" applyFont="1" applyFill="1" applyBorder="1" applyAlignment="1">
      <alignment horizontal="center" vertical="center"/>
    </xf>
    <xf numFmtId="41" fontId="8" fillId="0" borderId="0" xfId="1" applyFont="1" applyAlignment="1">
      <alignment horizontal="center" vertical="center"/>
    </xf>
    <xf numFmtId="41" fontId="6" fillId="0" borderId="0" xfId="1" applyFont="1" applyAlignment="1">
      <alignment horizontal="center" vertical="center"/>
    </xf>
    <xf numFmtId="41" fontId="12" fillId="0" borderId="0" xfId="1" applyFont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FD2DD-AD34-4B9A-847A-211C02CC5769}">
  <dimension ref="A1:K59"/>
  <sheetViews>
    <sheetView tabSelected="1" workbookViewId="0">
      <selection activeCell="E9" sqref="E9"/>
    </sheetView>
  </sheetViews>
  <sheetFormatPr defaultRowHeight="16.5" x14ac:dyDescent="0.3"/>
  <cols>
    <col min="1" max="3" width="15.25" style="1" customWidth="1"/>
    <col min="4" max="4" width="17" style="2" customWidth="1"/>
    <col min="5" max="7" width="15.25" style="3" customWidth="1"/>
    <col min="8" max="11" width="17.75" style="4" customWidth="1"/>
  </cols>
  <sheetData>
    <row r="1" spans="1:11" ht="27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3" spans="1:11" ht="17.25" thickBot="1" x14ac:dyDescent="0.35">
      <c r="A3" s="5" t="s">
        <v>1</v>
      </c>
      <c r="B3" s="5" t="s">
        <v>2</v>
      </c>
      <c r="C3" s="5" t="s">
        <v>3</v>
      </c>
      <c r="D3" s="6" t="s">
        <v>4</v>
      </c>
      <c r="E3" s="7" t="s">
        <v>1</v>
      </c>
      <c r="F3" s="5" t="s">
        <v>2</v>
      </c>
      <c r="G3" s="5" t="s">
        <v>3</v>
      </c>
      <c r="H3" s="8" t="s">
        <v>5</v>
      </c>
      <c r="I3" s="8" t="s">
        <v>6</v>
      </c>
      <c r="J3" s="8" t="s">
        <v>7</v>
      </c>
      <c r="K3" s="8" t="s">
        <v>4</v>
      </c>
    </row>
    <row r="4" spans="1:11" ht="18" thickTop="1" x14ac:dyDescent="0.3">
      <c r="A4" s="9" t="s">
        <v>8</v>
      </c>
      <c r="B4" s="9"/>
      <c r="C4" s="9"/>
      <c r="D4" s="10">
        <f>D5+D9+D13+D17+D24</f>
        <v>2190035721</v>
      </c>
      <c r="E4" s="11" t="s">
        <v>9</v>
      </c>
      <c r="F4" s="9"/>
      <c r="G4" s="9"/>
      <c r="H4" s="12">
        <f t="shared" ref="H4" si="0">H5+H22+H29+H52+H55</f>
        <v>1838058510</v>
      </c>
      <c r="I4" s="12">
        <v>78430602</v>
      </c>
      <c r="J4" s="12">
        <v>273546609</v>
      </c>
      <c r="K4" s="13">
        <f>H4+I4+J4</f>
        <v>2190035721</v>
      </c>
    </row>
    <row r="5" spans="1:11" x14ac:dyDescent="0.3">
      <c r="A5" s="14" t="s">
        <v>10</v>
      </c>
      <c r="B5" s="14"/>
      <c r="C5" s="14"/>
      <c r="D5" s="15">
        <f>D6</f>
        <v>1854605360</v>
      </c>
      <c r="E5" s="16" t="s">
        <v>11</v>
      </c>
      <c r="F5" s="17"/>
      <c r="G5" s="17"/>
      <c r="H5" s="14">
        <f t="shared" ref="H5" si="1">H6+H12+H15</f>
        <v>1565588520</v>
      </c>
      <c r="I5" s="14">
        <v>1789500</v>
      </c>
      <c r="J5" s="14">
        <v>95368047</v>
      </c>
      <c r="K5" s="14">
        <f>K6+K12+K15</f>
        <v>1662746067</v>
      </c>
    </row>
    <row r="6" spans="1:11" x14ac:dyDescent="0.3">
      <c r="A6" s="18"/>
      <c r="B6" s="19" t="s">
        <v>10</v>
      </c>
      <c r="C6" s="19"/>
      <c r="D6" s="20">
        <f>D7+D8</f>
        <v>1854605360</v>
      </c>
      <c r="E6" s="21"/>
      <c r="F6" s="22" t="s">
        <v>12</v>
      </c>
      <c r="G6" s="22"/>
      <c r="H6" s="23">
        <f>SUM(H7:H11)</f>
        <v>1517275700</v>
      </c>
      <c r="I6" s="23">
        <v>0</v>
      </c>
      <c r="J6" s="23">
        <v>77245320</v>
      </c>
      <c r="K6" s="24">
        <f>SUM(K7:K11)</f>
        <v>1594521020</v>
      </c>
    </row>
    <row r="7" spans="1:11" x14ac:dyDescent="0.3">
      <c r="A7" s="18"/>
      <c r="B7" s="18"/>
      <c r="C7" s="25" t="s">
        <v>13</v>
      </c>
      <c r="D7" s="26">
        <f>1838058510</f>
        <v>1838058510</v>
      </c>
      <c r="E7" s="21"/>
      <c r="F7" s="27"/>
      <c r="G7" s="27" t="s">
        <v>14</v>
      </c>
      <c r="H7" s="28">
        <f>947661000</f>
        <v>947661000</v>
      </c>
      <c r="I7" s="28">
        <v>0</v>
      </c>
      <c r="J7" s="28">
        <v>36087000</v>
      </c>
      <c r="K7" s="28">
        <f>H7+I7+J7</f>
        <v>983748000</v>
      </c>
    </row>
    <row r="8" spans="1:11" x14ac:dyDescent="0.3">
      <c r="A8" s="18"/>
      <c r="B8" s="18"/>
      <c r="C8" s="25" t="s">
        <v>15</v>
      </c>
      <c r="D8" s="26">
        <v>16546850</v>
      </c>
      <c r="E8" s="21"/>
      <c r="F8" s="27"/>
      <c r="G8" s="27" t="s">
        <v>16</v>
      </c>
      <c r="H8" s="28">
        <f>323721990</f>
        <v>323721990</v>
      </c>
      <c r="I8" s="28">
        <v>0</v>
      </c>
      <c r="J8" s="28">
        <v>11990730</v>
      </c>
      <c r="K8" s="28">
        <f>H8+I8+J8</f>
        <v>335712720</v>
      </c>
    </row>
    <row r="9" spans="1:11" x14ac:dyDescent="0.3">
      <c r="A9" s="14" t="s">
        <v>17</v>
      </c>
      <c r="B9" s="14"/>
      <c r="C9" s="14"/>
      <c r="D9" s="15">
        <f>D10</f>
        <v>25147063</v>
      </c>
      <c r="E9" s="21"/>
      <c r="F9" s="27"/>
      <c r="G9" s="27" t="s">
        <v>18</v>
      </c>
      <c r="H9" s="28">
        <f>105948510</f>
        <v>105948510</v>
      </c>
      <c r="I9" s="28">
        <v>0</v>
      </c>
      <c r="J9" s="28">
        <v>4005950</v>
      </c>
      <c r="K9" s="28">
        <f>H9+I9+J9</f>
        <v>109954460</v>
      </c>
    </row>
    <row r="10" spans="1:11" x14ac:dyDescent="0.3">
      <c r="A10" s="18"/>
      <c r="B10" s="19" t="s">
        <v>17</v>
      </c>
      <c r="C10" s="19"/>
      <c r="D10" s="20">
        <f>D11+D12</f>
        <v>25147063</v>
      </c>
      <c r="E10" s="21"/>
      <c r="F10" s="27"/>
      <c r="G10" s="27" t="s">
        <v>19</v>
      </c>
      <c r="H10" s="28">
        <f>124719200</f>
        <v>124719200</v>
      </c>
      <c r="I10" s="28">
        <v>0</v>
      </c>
      <c r="J10" s="28">
        <v>5373910</v>
      </c>
      <c r="K10" s="28">
        <f>H10+I10+J10</f>
        <v>130093110</v>
      </c>
    </row>
    <row r="11" spans="1:11" x14ac:dyDescent="0.3">
      <c r="A11" s="18"/>
      <c r="B11" s="18"/>
      <c r="C11" s="25" t="s">
        <v>20</v>
      </c>
      <c r="D11" s="26">
        <v>2700000</v>
      </c>
      <c r="E11" s="21"/>
      <c r="F11" s="27"/>
      <c r="G11" s="27" t="s">
        <v>21</v>
      </c>
      <c r="H11" s="28">
        <f>15225000</f>
        <v>15225000</v>
      </c>
      <c r="I11" s="28">
        <v>0</v>
      </c>
      <c r="J11" s="28">
        <v>19787730</v>
      </c>
      <c r="K11" s="28">
        <f>H11+I11+J11</f>
        <v>35012730</v>
      </c>
    </row>
    <row r="12" spans="1:11" x14ac:dyDescent="0.3">
      <c r="A12" s="18"/>
      <c r="B12" s="18"/>
      <c r="C12" s="25" t="s">
        <v>22</v>
      </c>
      <c r="D12" s="26">
        <v>22447063</v>
      </c>
      <c r="E12" s="21"/>
      <c r="F12" s="22" t="s">
        <v>23</v>
      </c>
      <c r="G12" s="22"/>
      <c r="H12" s="24">
        <f>SUM(H13:H14)</f>
        <v>0</v>
      </c>
      <c r="I12" s="24">
        <v>0</v>
      </c>
      <c r="J12" s="24">
        <v>264960</v>
      </c>
      <c r="K12" s="24">
        <f>SUM(K13:K14)</f>
        <v>264960</v>
      </c>
    </row>
    <row r="13" spans="1:11" x14ac:dyDescent="0.3">
      <c r="A13" s="14" t="s">
        <v>24</v>
      </c>
      <c r="B13" s="14"/>
      <c r="C13" s="14" t="s">
        <v>25</v>
      </c>
      <c r="D13" s="15">
        <f>D14</f>
        <v>162085527</v>
      </c>
      <c r="E13" s="21"/>
      <c r="F13" s="27"/>
      <c r="G13" s="27" t="s">
        <v>26</v>
      </c>
      <c r="H13" s="28"/>
      <c r="I13" s="28">
        <v>0</v>
      </c>
      <c r="J13" s="28">
        <v>84960</v>
      </c>
      <c r="K13" s="28">
        <f>H13+I13+J13</f>
        <v>84960</v>
      </c>
    </row>
    <row r="14" spans="1:11" x14ac:dyDescent="0.3">
      <c r="A14" s="18"/>
      <c r="B14" s="19" t="s">
        <v>24</v>
      </c>
      <c r="C14" s="19"/>
      <c r="D14" s="20">
        <f>D15+D16</f>
        <v>162085527</v>
      </c>
      <c r="E14" s="21"/>
      <c r="F14" s="27"/>
      <c r="G14" s="27" t="s">
        <v>27</v>
      </c>
      <c r="H14" s="28"/>
      <c r="I14" s="28">
        <v>0</v>
      </c>
      <c r="J14" s="28">
        <v>180000</v>
      </c>
      <c r="K14" s="28">
        <f>H14+I14+J14</f>
        <v>180000</v>
      </c>
    </row>
    <row r="15" spans="1:11" x14ac:dyDescent="0.3">
      <c r="A15" s="18"/>
      <c r="B15" s="18"/>
      <c r="C15" s="25" t="s">
        <v>28</v>
      </c>
      <c r="D15" s="26">
        <v>35966227</v>
      </c>
      <c r="E15" s="21"/>
      <c r="F15" s="22" t="s">
        <v>29</v>
      </c>
      <c r="G15" s="22"/>
      <c r="H15" s="24">
        <f>SUM(H16:H21)</f>
        <v>48312820</v>
      </c>
      <c r="I15" s="24">
        <v>1789500</v>
      </c>
      <c r="J15" s="24">
        <v>17857767</v>
      </c>
      <c r="K15" s="24">
        <f>SUM(K16:K21)</f>
        <v>67960087</v>
      </c>
    </row>
    <row r="16" spans="1:11" x14ac:dyDescent="0.3">
      <c r="A16" s="18"/>
      <c r="B16" s="18"/>
      <c r="C16" s="25" t="s">
        <v>30</v>
      </c>
      <c r="D16" s="26">
        <v>126119300</v>
      </c>
      <c r="E16" s="21"/>
      <c r="F16" s="27"/>
      <c r="G16" s="27" t="s">
        <v>31</v>
      </c>
      <c r="H16" s="28">
        <f>1726000</f>
        <v>1726000</v>
      </c>
      <c r="I16" s="28">
        <v>0</v>
      </c>
      <c r="J16" s="28">
        <v>343600</v>
      </c>
      <c r="K16" s="28">
        <f t="shared" ref="K16:K21" si="2">H16+I16+J16</f>
        <v>2069600</v>
      </c>
    </row>
    <row r="17" spans="1:11" x14ac:dyDescent="0.3">
      <c r="A17" s="14" t="s">
        <v>32</v>
      </c>
      <c r="B17" s="14"/>
      <c r="C17" s="14"/>
      <c r="D17" s="15">
        <f>D18</f>
        <v>120574553</v>
      </c>
      <c r="E17" s="21"/>
      <c r="F17" s="27"/>
      <c r="G17" s="27" t="s">
        <v>33</v>
      </c>
      <c r="H17" s="28">
        <f>13500240</f>
        <v>13500240</v>
      </c>
      <c r="I17" s="28">
        <v>39500</v>
      </c>
      <c r="J17" s="28">
        <v>9840847</v>
      </c>
      <c r="K17" s="28">
        <f t="shared" si="2"/>
        <v>23380587</v>
      </c>
    </row>
    <row r="18" spans="1:11" x14ac:dyDescent="0.3">
      <c r="A18" s="18"/>
      <c r="B18" s="19" t="s">
        <v>32</v>
      </c>
      <c r="C18" s="19"/>
      <c r="D18" s="20">
        <f>D19+D20+D21+D22+D23</f>
        <v>120574553</v>
      </c>
      <c r="E18" s="21"/>
      <c r="F18" s="27"/>
      <c r="G18" s="27" t="s">
        <v>34</v>
      </c>
      <c r="H18" s="28">
        <f>28434800</f>
        <v>28434800</v>
      </c>
      <c r="I18" s="28">
        <v>1700000</v>
      </c>
      <c r="J18" s="28">
        <v>970280</v>
      </c>
      <c r="K18" s="28">
        <f t="shared" si="2"/>
        <v>31105080</v>
      </c>
    </row>
    <row r="19" spans="1:11" x14ac:dyDescent="0.3">
      <c r="A19" s="18"/>
      <c r="B19" s="18"/>
      <c r="C19" s="25" t="s">
        <v>35</v>
      </c>
      <c r="D19" s="26">
        <v>36701954</v>
      </c>
      <c r="E19" s="21"/>
      <c r="F19" s="27"/>
      <c r="G19" s="27" t="s">
        <v>36</v>
      </c>
      <c r="H19" s="28">
        <f>2548220</f>
        <v>2548220</v>
      </c>
      <c r="I19" s="28">
        <v>0</v>
      </c>
      <c r="J19" s="28">
        <v>5841260</v>
      </c>
      <c r="K19" s="28">
        <f t="shared" si="2"/>
        <v>8389480</v>
      </c>
    </row>
    <row r="20" spans="1:11" x14ac:dyDescent="0.3">
      <c r="A20" s="18"/>
      <c r="B20" s="18"/>
      <c r="C20" s="25" t="s">
        <v>37</v>
      </c>
      <c r="D20" s="26">
        <v>11213</v>
      </c>
      <c r="E20" s="21"/>
      <c r="F20" s="27"/>
      <c r="G20" s="27" t="s">
        <v>38</v>
      </c>
      <c r="H20" s="28">
        <f>1823560</f>
        <v>1823560</v>
      </c>
      <c r="I20" s="28">
        <v>50000</v>
      </c>
      <c r="J20" s="28">
        <v>520580</v>
      </c>
      <c r="K20" s="28">
        <f t="shared" si="2"/>
        <v>2394140</v>
      </c>
    </row>
    <row r="21" spans="1:11" x14ac:dyDescent="0.3">
      <c r="A21" s="18"/>
      <c r="B21" s="18"/>
      <c r="C21" s="25" t="s">
        <v>39</v>
      </c>
      <c r="D21" s="29">
        <v>4509919</v>
      </c>
      <c r="E21" s="21"/>
      <c r="F21" s="27"/>
      <c r="G21" s="27" t="s">
        <v>40</v>
      </c>
      <c r="H21" s="28">
        <f>280000</f>
        <v>280000</v>
      </c>
      <c r="I21" s="28">
        <v>0</v>
      </c>
      <c r="J21" s="28">
        <v>341200</v>
      </c>
      <c r="K21" s="28">
        <f t="shared" si="2"/>
        <v>621200</v>
      </c>
    </row>
    <row r="22" spans="1:11" x14ac:dyDescent="0.3">
      <c r="A22" s="18"/>
      <c r="B22" s="18"/>
      <c r="C22" s="25" t="s">
        <v>41</v>
      </c>
      <c r="D22" s="26">
        <f>8748390</f>
        <v>8748390</v>
      </c>
      <c r="E22" s="16" t="s">
        <v>42</v>
      </c>
      <c r="F22" s="17" t="s">
        <v>25</v>
      </c>
      <c r="G22" s="17"/>
      <c r="H22" s="30">
        <f t="shared" ref="H22" si="3">H23+H25+H27</f>
        <v>7000000</v>
      </c>
      <c r="I22" s="30">
        <v>0</v>
      </c>
      <c r="J22" s="30">
        <v>0</v>
      </c>
      <c r="K22" s="30">
        <f>K23+K25+K27</f>
        <v>11630000</v>
      </c>
    </row>
    <row r="23" spans="1:11" x14ac:dyDescent="0.3">
      <c r="A23" s="18"/>
      <c r="B23" s="18"/>
      <c r="C23" s="25" t="s">
        <v>43</v>
      </c>
      <c r="D23" s="26">
        <v>70603077</v>
      </c>
      <c r="E23" s="21"/>
      <c r="F23" s="22" t="s">
        <v>44</v>
      </c>
      <c r="G23" s="22"/>
      <c r="H23" s="24">
        <f>H24</f>
        <v>0</v>
      </c>
      <c r="I23" s="24">
        <v>0</v>
      </c>
      <c r="J23" s="24">
        <v>0</v>
      </c>
      <c r="K23" s="24">
        <f>SUM(K24)</f>
        <v>0</v>
      </c>
    </row>
    <row r="24" spans="1:11" x14ac:dyDescent="0.3">
      <c r="A24" s="14" t="s">
        <v>45</v>
      </c>
      <c r="B24" s="14"/>
      <c r="C24" s="14"/>
      <c r="D24" s="15">
        <f>D25</f>
        <v>27623218</v>
      </c>
      <c r="E24" s="21"/>
      <c r="F24" s="27"/>
      <c r="G24" s="27" t="s">
        <v>44</v>
      </c>
      <c r="H24" s="28"/>
      <c r="I24" s="28">
        <v>0</v>
      </c>
      <c r="J24" s="28">
        <v>0</v>
      </c>
      <c r="K24" s="28">
        <f>H24+I24+J24</f>
        <v>0</v>
      </c>
    </row>
    <row r="25" spans="1:11" x14ac:dyDescent="0.3">
      <c r="A25" s="18"/>
      <c r="B25" s="19" t="s">
        <v>45</v>
      </c>
      <c r="C25" s="19"/>
      <c r="D25" s="20">
        <f>D26+D27+D28+D29+D30+D31+D32+D33</f>
        <v>27623218</v>
      </c>
      <c r="E25" s="21"/>
      <c r="F25" s="22" t="s">
        <v>46</v>
      </c>
      <c r="G25" s="22"/>
      <c r="H25" s="24">
        <f>H26</f>
        <v>0</v>
      </c>
      <c r="I25" s="24">
        <v>0</v>
      </c>
      <c r="J25" s="24">
        <v>0</v>
      </c>
      <c r="K25" s="24">
        <f>SUM(K26)</f>
        <v>0</v>
      </c>
    </row>
    <row r="26" spans="1:11" x14ac:dyDescent="0.3">
      <c r="A26" s="18"/>
      <c r="B26" s="18"/>
      <c r="C26" s="25" t="s">
        <v>47</v>
      </c>
      <c r="D26" s="26">
        <v>14342</v>
      </c>
      <c r="E26" s="21"/>
      <c r="F26" s="27"/>
      <c r="G26" s="27" t="s">
        <v>46</v>
      </c>
      <c r="H26" s="28"/>
      <c r="I26" s="28">
        <v>0</v>
      </c>
      <c r="J26" s="28">
        <v>0</v>
      </c>
      <c r="K26" s="28">
        <f>H26+I26+J26</f>
        <v>0</v>
      </c>
    </row>
    <row r="27" spans="1:11" x14ac:dyDescent="0.3">
      <c r="A27" s="18"/>
      <c r="B27" s="18"/>
      <c r="C27" s="25" t="s">
        <v>48</v>
      </c>
      <c r="D27" s="26">
        <v>62404</v>
      </c>
      <c r="E27" s="21"/>
      <c r="F27" s="22" t="s">
        <v>49</v>
      </c>
      <c r="G27" s="22"/>
      <c r="H27" s="24">
        <f>H28</f>
        <v>7000000</v>
      </c>
      <c r="I27" s="24"/>
      <c r="J27" s="24"/>
      <c r="K27" s="24">
        <f>SUM(K28)</f>
        <v>11630000</v>
      </c>
    </row>
    <row r="28" spans="1:11" x14ac:dyDescent="0.3">
      <c r="A28" s="18"/>
      <c r="B28" s="18"/>
      <c r="C28" s="25" t="s">
        <v>50</v>
      </c>
      <c r="D28" s="29">
        <v>33933</v>
      </c>
      <c r="E28" s="21"/>
      <c r="F28" s="27"/>
      <c r="G28" s="27" t="s">
        <v>49</v>
      </c>
      <c r="H28" s="28">
        <f>7000000</f>
        <v>7000000</v>
      </c>
      <c r="I28" s="28">
        <v>2000000</v>
      </c>
      <c r="J28" s="28">
        <v>2630000</v>
      </c>
      <c r="K28" s="28">
        <f>H28+I28+J28</f>
        <v>11630000</v>
      </c>
    </row>
    <row r="29" spans="1:11" x14ac:dyDescent="0.3">
      <c r="A29" s="18"/>
      <c r="B29" s="18"/>
      <c r="C29" s="25" t="s">
        <v>51</v>
      </c>
      <c r="D29" s="29">
        <v>802</v>
      </c>
      <c r="E29" s="16" t="s">
        <v>52</v>
      </c>
      <c r="F29" s="17"/>
      <c r="G29" s="17"/>
      <c r="H29" s="14">
        <f t="shared" ref="H29" si="4">H30+H39+H45</f>
        <v>265469990</v>
      </c>
      <c r="I29" s="14">
        <v>45117690</v>
      </c>
      <c r="J29" s="14">
        <v>49319904</v>
      </c>
      <c r="K29" s="14">
        <f>K30+K39+K45</f>
        <v>359907584</v>
      </c>
    </row>
    <row r="30" spans="1:11" x14ac:dyDescent="0.3">
      <c r="A30" s="18"/>
      <c r="B30" s="18"/>
      <c r="C30" s="25" t="s">
        <v>51</v>
      </c>
      <c r="D30" s="29">
        <v>-7130</v>
      </c>
      <c r="E30" s="21"/>
      <c r="F30" s="22" t="s">
        <v>29</v>
      </c>
      <c r="G30" s="22"/>
      <c r="H30" s="23">
        <f>SUM(H31:H38)</f>
        <v>201946600</v>
      </c>
      <c r="I30" s="23">
        <v>7387740</v>
      </c>
      <c r="J30" s="23">
        <v>24689940</v>
      </c>
      <c r="K30" s="24">
        <f>SUM(K31:K38)</f>
        <v>234024280</v>
      </c>
    </row>
    <row r="31" spans="1:11" x14ac:dyDescent="0.3">
      <c r="A31" s="18"/>
      <c r="B31" s="18"/>
      <c r="C31" s="25" t="s">
        <v>53</v>
      </c>
      <c r="D31" s="29">
        <f>7130-11213</f>
        <v>-4083</v>
      </c>
      <c r="E31" s="21"/>
      <c r="F31" s="27"/>
      <c r="G31" s="27" t="s">
        <v>54</v>
      </c>
      <c r="H31" s="28">
        <f>113083510</f>
        <v>113083510</v>
      </c>
      <c r="I31" s="28">
        <v>0</v>
      </c>
      <c r="J31" s="28">
        <v>17630550</v>
      </c>
      <c r="K31" s="28">
        <f t="shared" ref="K31:K38" si="5">H31+I31+J31</f>
        <v>130714060</v>
      </c>
    </row>
    <row r="32" spans="1:11" x14ac:dyDescent="0.3">
      <c r="A32" s="18"/>
      <c r="B32" s="18"/>
      <c r="C32" s="25" t="s">
        <v>55</v>
      </c>
      <c r="D32" s="29">
        <v>23660000</v>
      </c>
      <c r="E32" s="21"/>
      <c r="F32" s="27"/>
      <c r="G32" s="27" t="s">
        <v>56</v>
      </c>
      <c r="H32" s="28">
        <f>14999500</f>
        <v>14999500</v>
      </c>
      <c r="I32" s="28">
        <v>503040</v>
      </c>
      <c r="J32" s="28">
        <v>1454760</v>
      </c>
      <c r="K32" s="28">
        <f t="shared" si="5"/>
        <v>16957300</v>
      </c>
    </row>
    <row r="33" spans="1:11" x14ac:dyDescent="0.3">
      <c r="A33" s="18"/>
      <c r="B33" s="18"/>
      <c r="C33" s="25" t="s">
        <v>57</v>
      </c>
      <c r="D33" s="29">
        <v>3862950</v>
      </c>
      <c r="E33" s="21"/>
      <c r="F33" s="27"/>
      <c r="G33" s="27" t="s">
        <v>58</v>
      </c>
      <c r="H33" s="28">
        <f>10635700</f>
        <v>10635700</v>
      </c>
      <c r="I33" s="28">
        <v>0</v>
      </c>
      <c r="J33" s="28">
        <v>0</v>
      </c>
      <c r="K33" s="28">
        <f t="shared" si="5"/>
        <v>10635700</v>
      </c>
    </row>
    <row r="34" spans="1:11" x14ac:dyDescent="0.3">
      <c r="A34" s="18"/>
      <c r="B34" s="18"/>
      <c r="C34" s="18"/>
      <c r="D34" s="31" t="s">
        <v>59</v>
      </c>
      <c r="E34" s="21"/>
      <c r="F34" s="27"/>
      <c r="G34" s="27" t="s">
        <v>60</v>
      </c>
      <c r="H34" s="28">
        <f>3673190</f>
        <v>3673190</v>
      </c>
      <c r="I34" s="28">
        <v>0</v>
      </c>
      <c r="J34" s="28">
        <v>276200</v>
      </c>
      <c r="K34" s="28">
        <f t="shared" si="5"/>
        <v>3949390</v>
      </c>
    </row>
    <row r="35" spans="1:11" x14ac:dyDescent="0.3">
      <c r="A35" s="18"/>
      <c r="B35" s="18"/>
      <c r="C35" s="18"/>
      <c r="D35" s="31"/>
      <c r="E35" s="21"/>
      <c r="F35" s="27"/>
      <c r="G35" s="27" t="s">
        <v>61</v>
      </c>
      <c r="H35" s="28"/>
      <c r="I35" s="28">
        <v>0</v>
      </c>
      <c r="J35" s="28">
        <v>0</v>
      </c>
      <c r="K35" s="28">
        <f t="shared" si="5"/>
        <v>0</v>
      </c>
    </row>
    <row r="36" spans="1:11" x14ac:dyDescent="0.3">
      <c r="A36" s="18"/>
      <c r="B36" s="18"/>
      <c r="C36" s="18"/>
      <c r="D36" s="32"/>
      <c r="E36" s="21"/>
      <c r="F36" s="27"/>
      <c r="G36" s="27" t="s">
        <v>62</v>
      </c>
      <c r="H36" s="28">
        <f>4282180</f>
        <v>4282180</v>
      </c>
      <c r="I36" s="28">
        <v>4051300</v>
      </c>
      <c r="J36" s="28">
        <v>3894000</v>
      </c>
      <c r="K36" s="28">
        <f t="shared" si="5"/>
        <v>12227480</v>
      </c>
    </row>
    <row r="37" spans="1:11" x14ac:dyDescent="0.3">
      <c r="A37" s="18"/>
      <c r="B37" s="18"/>
      <c r="C37" s="18"/>
      <c r="D37" s="32"/>
      <c r="E37" s="21"/>
      <c r="F37" s="27"/>
      <c r="G37" s="27" t="s">
        <v>63</v>
      </c>
      <c r="H37" s="28">
        <f>38361470</f>
        <v>38361470</v>
      </c>
      <c r="I37" s="28">
        <v>2833400</v>
      </c>
      <c r="J37" s="28">
        <v>1434430</v>
      </c>
      <c r="K37" s="28">
        <f t="shared" si="5"/>
        <v>42629300</v>
      </c>
    </row>
    <row r="38" spans="1:11" x14ac:dyDescent="0.3">
      <c r="A38" s="18"/>
      <c r="B38" s="18"/>
      <c r="C38" s="18"/>
      <c r="D38" s="32"/>
      <c r="E38" s="21"/>
      <c r="F38" s="27"/>
      <c r="G38" s="27" t="s">
        <v>64</v>
      </c>
      <c r="H38" s="28">
        <f>16911050</f>
        <v>16911050</v>
      </c>
      <c r="I38" s="28">
        <v>0</v>
      </c>
      <c r="J38" s="28">
        <v>0</v>
      </c>
      <c r="K38" s="28">
        <f t="shared" si="5"/>
        <v>16911050</v>
      </c>
    </row>
    <row r="39" spans="1:11" x14ac:dyDescent="0.3">
      <c r="A39" s="18"/>
      <c r="B39" s="18"/>
      <c r="C39" s="18"/>
      <c r="D39" s="32"/>
      <c r="E39" s="21"/>
      <c r="F39" s="22" t="s">
        <v>65</v>
      </c>
      <c r="G39" s="22"/>
      <c r="H39" s="24">
        <f>SUM(H40:H44)</f>
        <v>21693990</v>
      </c>
      <c r="I39" s="24">
        <v>15352450</v>
      </c>
      <c r="J39" s="24">
        <v>17595360</v>
      </c>
      <c r="K39" s="24">
        <f>SUM(K40:K44)</f>
        <v>54641800</v>
      </c>
    </row>
    <row r="40" spans="1:11" x14ac:dyDescent="0.3">
      <c r="A40" s="18"/>
      <c r="B40" s="18"/>
      <c r="C40" s="18"/>
      <c r="D40" s="32"/>
      <c r="E40" s="21"/>
      <c r="F40" s="27"/>
      <c r="G40" s="27" t="s">
        <v>66</v>
      </c>
      <c r="H40" s="28"/>
      <c r="I40" s="28">
        <v>0</v>
      </c>
      <c r="J40" s="28">
        <v>0</v>
      </c>
      <c r="K40" s="28">
        <f>H40+I40+J40</f>
        <v>0</v>
      </c>
    </row>
    <row r="41" spans="1:11" x14ac:dyDescent="0.3">
      <c r="A41" s="18"/>
      <c r="B41" s="18"/>
      <c r="C41" s="18"/>
      <c r="D41" s="32"/>
      <c r="E41" s="21"/>
      <c r="F41" s="27"/>
      <c r="G41" s="27" t="s">
        <v>67</v>
      </c>
      <c r="H41" s="28"/>
      <c r="I41" s="28">
        <v>0</v>
      </c>
      <c r="J41" s="28">
        <v>0</v>
      </c>
      <c r="K41" s="28">
        <f>H41+I41+J41</f>
        <v>0</v>
      </c>
    </row>
    <row r="42" spans="1:11" x14ac:dyDescent="0.3">
      <c r="A42" s="18"/>
      <c r="B42" s="18"/>
      <c r="C42" s="18"/>
      <c r="D42" s="32"/>
      <c r="E42" s="21"/>
      <c r="F42" s="27"/>
      <c r="G42" s="27" t="s">
        <v>68</v>
      </c>
      <c r="H42" s="28">
        <f>5250000</f>
        <v>5250000</v>
      </c>
      <c r="I42" s="28">
        <v>0</v>
      </c>
      <c r="J42" s="28">
        <v>0</v>
      </c>
      <c r="K42" s="28">
        <f>H42+I42+J42</f>
        <v>5250000</v>
      </c>
    </row>
    <row r="43" spans="1:11" x14ac:dyDescent="0.3">
      <c r="A43" s="18"/>
      <c r="B43" s="18"/>
      <c r="C43" s="18"/>
      <c r="D43" s="32"/>
      <c r="E43" s="21"/>
      <c r="F43" s="27"/>
      <c r="G43" s="27" t="s">
        <v>69</v>
      </c>
      <c r="H43" s="28">
        <f>11100000</f>
        <v>11100000</v>
      </c>
      <c r="I43" s="28">
        <v>5680000</v>
      </c>
      <c r="J43" s="28">
        <v>3226000</v>
      </c>
      <c r="K43" s="28">
        <f>H43+I43+J43</f>
        <v>20006000</v>
      </c>
    </row>
    <row r="44" spans="1:11" x14ac:dyDescent="0.3">
      <c r="A44" s="18"/>
      <c r="B44" s="18"/>
      <c r="C44" s="18"/>
      <c r="D44" s="32"/>
      <c r="E44" s="21"/>
      <c r="F44" s="27"/>
      <c r="G44" s="27" t="s">
        <v>70</v>
      </c>
      <c r="H44" s="28">
        <f>5343990</f>
        <v>5343990</v>
      </c>
      <c r="I44" s="28">
        <v>9672450</v>
      </c>
      <c r="J44" s="28">
        <v>14369360</v>
      </c>
      <c r="K44" s="28">
        <f>H44+I44+J44</f>
        <v>29385800</v>
      </c>
    </row>
    <row r="45" spans="1:11" x14ac:dyDescent="0.3">
      <c r="A45" s="18"/>
      <c r="B45" s="18"/>
      <c r="C45" s="18"/>
      <c r="D45" s="32"/>
      <c r="E45" s="21" t="s">
        <v>25</v>
      </c>
      <c r="F45" s="22" t="s">
        <v>52</v>
      </c>
      <c r="G45" s="22"/>
      <c r="H45" s="24">
        <f>SUM(H46:H51)</f>
        <v>41829400</v>
      </c>
      <c r="I45" s="24">
        <v>22377500</v>
      </c>
      <c r="J45" s="24">
        <v>7034604</v>
      </c>
      <c r="K45" s="24">
        <f>SUM(K46:K51)</f>
        <v>71241504</v>
      </c>
    </row>
    <row r="46" spans="1:11" x14ac:dyDescent="0.3">
      <c r="A46" s="18"/>
      <c r="B46" s="18"/>
      <c r="C46" s="18"/>
      <c r="D46" s="32"/>
      <c r="E46" s="21"/>
      <c r="F46" s="27"/>
      <c r="G46" s="27" t="s">
        <v>71</v>
      </c>
      <c r="H46" s="28"/>
      <c r="I46" s="28">
        <v>0</v>
      </c>
      <c r="J46" s="28">
        <v>0</v>
      </c>
      <c r="K46" s="28">
        <f t="shared" ref="K46:K51" si="6">H46+I46+J46</f>
        <v>0</v>
      </c>
    </row>
    <row r="47" spans="1:11" x14ac:dyDescent="0.3">
      <c r="A47" s="18"/>
      <c r="B47" s="18"/>
      <c r="C47" s="18"/>
      <c r="D47" s="32"/>
      <c r="E47" s="21"/>
      <c r="F47" s="27"/>
      <c r="G47" s="27" t="s">
        <v>72</v>
      </c>
      <c r="H47" s="28">
        <f>3441800</f>
        <v>3441800</v>
      </c>
      <c r="I47" s="28">
        <v>1702500</v>
      </c>
      <c r="J47" s="28">
        <v>6105730</v>
      </c>
      <c r="K47" s="28">
        <f t="shared" si="6"/>
        <v>11250030</v>
      </c>
    </row>
    <row r="48" spans="1:11" x14ac:dyDescent="0.3">
      <c r="A48" s="18"/>
      <c r="B48" s="18"/>
      <c r="C48" s="18"/>
      <c r="D48" s="32"/>
      <c r="E48" s="21"/>
      <c r="F48" s="27"/>
      <c r="G48" s="27" t="s">
        <v>73</v>
      </c>
      <c r="H48" s="28">
        <f>1000000</f>
        <v>1000000</v>
      </c>
      <c r="I48" s="28">
        <v>0</v>
      </c>
      <c r="J48" s="28">
        <v>669000</v>
      </c>
      <c r="K48" s="28">
        <f t="shared" si="6"/>
        <v>1669000</v>
      </c>
    </row>
    <row r="49" spans="1:11" x14ac:dyDescent="0.3">
      <c r="A49" s="18"/>
      <c r="B49" s="18"/>
      <c r="C49" s="18"/>
      <c r="D49" s="32"/>
      <c r="E49" s="21"/>
      <c r="F49" s="27"/>
      <c r="G49" s="27" t="s">
        <v>74</v>
      </c>
      <c r="H49" s="28">
        <f>1118200</f>
        <v>1118200</v>
      </c>
      <c r="I49" s="28">
        <v>0</v>
      </c>
      <c r="J49" s="28">
        <v>164100</v>
      </c>
      <c r="K49" s="28">
        <f t="shared" si="6"/>
        <v>1282300</v>
      </c>
    </row>
    <row r="50" spans="1:11" x14ac:dyDescent="0.3">
      <c r="A50" s="18"/>
      <c r="B50" s="18"/>
      <c r="C50" s="18"/>
      <c r="D50" s="32"/>
      <c r="E50" s="21"/>
      <c r="F50" s="27"/>
      <c r="G50" s="27" t="s">
        <v>75</v>
      </c>
      <c r="H50" s="28">
        <f>21269400</f>
        <v>21269400</v>
      </c>
      <c r="I50" s="28">
        <v>9545000</v>
      </c>
      <c r="J50" s="28">
        <v>0</v>
      </c>
      <c r="K50" s="28">
        <f t="shared" si="6"/>
        <v>30814400</v>
      </c>
    </row>
    <row r="51" spans="1:11" x14ac:dyDescent="0.3">
      <c r="A51" s="18"/>
      <c r="B51" s="18"/>
      <c r="C51" s="18"/>
      <c r="D51" s="32"/>
      <c r="E51" s="21"/>
      <c r="F51" s="27"/>
      <c r="G51" s="27" t="s">
        <v>76</v>
      </c>
      <c r="H51" s="28">
        <f>15000000</f>
        <v>15000000</v>
      </c>
      <c r="I51" s="28">
        <v>11130000</v>
      </c>
      <c r="J51" s="28">
        <v>95774</v>
      </c>
      <c r="K51" s="28">
        <f t="shared" si="6"/>
        <v>26225774</v>
      </c>
    </row>
    <row r="52" spans="1:11" x14ac:dyDescent="0.3">
      <c r="A52" s="18"/>
      <c r="B52" s="18"/>
      <c r="C52" s="18"/>
      <c r="D52" s="32"/>
      <c r="E52" s="16" t="s">
        <v>77</v>
      </c>
      <c r="F52" s="17"/>
      <c r="G52" s="17"/>
      <c r="H52" s="30">
        <f t="shared" ref="H52:H53" si="7">H53</f>
        <v>0</v>
      </c>
      <c r="I52" s="33">
        <v>0</v>
      </c>
      <c r="J52" s="33">
        <v>0</v>
      </c>
      <c r="K52" s="30">
        <f>K53</f>
        <v>0</v>
      </c>
    </row>
    <row r="53" spans="1:11" x14ac:dyDescent="0.3">
      <c r="A53" s="18"/>
      <c r="B53" s="18"/>
      <c r="C53" s="18"/>
      <c r="D53" s="32"/>
      <c r="E53" s="21"/>
      <c r="F53" s="22" t="s">
        <v>77</v>
      </c>
      <c r="G53" s="22"/>
      <c r="H53" s="24">
        <f t="shared" si="7"/>
        <v>0</v>
      </c>
      <c r="I53" s="24">
        <v>0</v>
      </c>
      <c r="J53" s="24">
        <v>0</v>
      </c>
      <c r="K53" s="24">
        <f>SUM(K54)</f>
        <v>0</v>
      </c>
    </row>
    <row r="54" spans="1:11" x14ac:dyDescent="0.3">
      <c r="A54" s="18"/>
      <c r="B54" s="18"/>
      <c r="C54" s="18"/>
      <c r="D54" s="32"/>
      <c r="E54" s="21"/>
      <c r="F54" s="27"/>
      <c r="G54" s="27" t="s">
        <v>77</v>
      </c>
      <c r="H54" s="28"/>
      <c r="I54" s="28">
        <v>0</v>
      </c>
      <c r="J54" s="28">
        <v>0</v>
      </c>
      <c r="K54" s="28">
        <f>H54+I54+J54</f>
        <v>0</v>
      </c>
    </row>
    <row r="55" spans="1:11" x14ac:dyDescent="0.3">
      <c r="A55" s="18"/>
      <c r="B55" s="18"/>
      <c r="C55" s="18"/>
      <c r="D55" s="32"/>
      <c r="E55" s="16" t="s">
        <v>32</v>
      </c>
      <c r="F55" s="17"/>
      <c r="G55" s="17"/>
      <c r="H55" s="30">
        <f t="shared" ref="H55:H56" si="8">H56</f>
        <v>0</v>
      </c>
      <c r="I55" s="33">
        <v>29523412</v>
      </c>
      <c r="J55" s="33">
        <v>126228658</v>
      </c>
      <c r="K55" s="30">
        <f>K56</f>
        <v>155752070</v>
      </c>
    </row>
    <row r="56" spans="1:11" x14ac:dyDescent="0.3">
      <c r="A56" s="18"/>
      <c r="B56" s="18"/>
      <c r="C56" s="18"/>
      <c r="D56" s="32"/>
      <c r="E56" s="21"/>
      <c r="F56" s="22" t="s">
        <v>78</v>
      </c>
      <c r="G56" s="22"/>
      <c r="H56" s="24">
        <f t="shared" si="8"/>
        <v>0</v>
      </c>
      <c r="I56" s="24">
        <v>29523412</v>
      </c>
      <c r="J56" s="24">
        <v>126228658</v>
      </c>
      <c r="K56" s="24">
        <f>K57</f>
        <v>155752070</v>
      </c>
    </row>
    <row r="57" spans="1:11" x14ac:dyDescent="0.3">
      <c r="A57" s="18"/>
      <c r="B57" s="18"/>
      <c r="C57" s="18"/>
      <c r="D57" s="32"/>
      <c r="E57" s="21"/>
      <c r="F57" s="27"/>
      <c r="G57" s="27" t="s">
        <v>32</v>
      </c>
      <c r="H57" s="28"/>
      <c r="I57" s="28">
        <v>29523412</v>
      </c>
      <c r="J57" s="28">
        <v>126228658</v>
      </c>
      <c r="K57" s="28">
        <f>H57+I57+J57</f>
        <v>155752070</v>
      </c>
    </row>
    <row r="58" spans="1:11" x14ac:dyDescent="0.3">
      <c r="K58" s="34"/>
    </row>
    <row r="59" spans="1:11" x14ac:dyDescent="0.3">
      <c r="K59" s="35"/>
    </row>
  </sheetData>
  <mergeCells count="3">
    <mergeCell ref="A1:K1"/>
    <mergeCell ref="A4:C4"/>
    <mergeCell ref="E4:G4"/>
  </mergeCells>
  <phoneticPr fontId="3" type="noConversion"/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조미소</dc:creator>
  <cp:lastModifiedBy>조미소</cp:lastModifiedBy>
  <dcterms:created xsi:type="dcterms:W3CDTF">2024-03-29T04:55:06Z</dcterms:created>
  <dcterms:modified xsi:type="dcterms:W3CDTF">2024-03-29T05:21:09Z</dcterms:modified>
</cp:coreProperties>
</file>