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uter\Desktop\"/>
    </mc:Choice>
  </mc:AlternateContent>
  <xr:revisionPtr revIDLastSave="0" documentId="13_ncr:1_{B0F6CE61-7026-40B2-8709-B4EC682CA358}" xr6:coauthVersionLast="47" xr6:coauthVersionMax="47" xr10:uidLastSave="{00000000-0000-0000-0000-000000000000}"/>
  <bookViews>
    <workbookView xWindow="-120" yWindow="-120" windowWidth="29040" windowHeight="15840" xr2:uid="{F1E08F06-4C57-469F-86E4-41BEF307C4BF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1" l="1"/>
  <c r="K50" i="1"/>
  <c r="J49" i="1"/>
  <c r="J48" i="1" s="1"/>
  <c r="I49" i="1"/>
  <c r="H49" i="1"/>
  <c r="H48" i="1" s="1"/>
  <c r="I48" i="1"/>
  <c r="K47" i="1"/>
  <c r="J46" i="1"/>
  <c r="K46" i="1" s="1"/>
  <c r="J45" i="1"/>
  <c r="K45" i="1" s="1"/>
  <c r="J44" i="1"/>
  <c r="K44" i="1" s="1"/>
  <c r="J43" i="1"/>
  <c r="K43" i="1" s="1"/>
  <c r="I42" i="1"/>
  <c r="H42" i="1"/>
  <c r="J41" i="1"/>
  <c r="K41" i="1" s="1"/>
  <c r="J40" i="1"/>
  <c r="K40" i="1" s="1"/>
  <c r="K39" i="1"/>
  <c r="I38" i="1"/>
  <c r="H38" i="1"/>
  <c r="K37" i="1"/>
  <c r="J36" i="1"/>
  <c r="K36" i="1" s="1"/>
  <c r="J35" i="1"/>
  <c r="K35" i="1" s="1"/>
  <c r="J34" i="1"/>
  <c r="K34" i="1" s="1"/>
  <c r="K33" i="1"/>
  <c r="K32" i="1"/>
  <c r="J32" i="1"/>
  <c r="K31" i="1"/>
  <c r="J31" i="1"/>
  <c r="I30" i="1"/>
  <c r="H30" i="1"/>
  <c r="I29" i="1"/>
  <c r="J28" i="1"/>
  <c r="K28" i="1" s="1"/>
  <c r="I27" i="1"/>
  <c r="H27" i="1"/>
  <c r="K26" i="1"/>
  <c r="J26" i="1"/>
  <c r="J25" i="1"/>
  <c r="I25" i="1"/>
  <c r="H25" i="1"/>
  <c r="D25" i="1"/>
  <c r="K24" i="1"/>
  <c r="D24" i="1"/>
  <c r="J23" i="1"/>
  <c r="I23" i="1"/>
  <c r="H23" i="1"/>
  <c r="K23" i="1" s="1"/>
  <c r="H22" i="1"/>
  <c r="J21" i="1"/>
  <c r="K21" i="1" s="1"/>
  <c r="J20" i="1"/>
  <c r="K20" i="1" s="1"/>
  <c r="J19" i="1"/>
  <c r="K19" i="1" s="1"/>
  <c r="J18" i="1"/>
  <c r="K18" i="1" s="1"/>
  <c r="D18" i="1"/>
  <c r="K17" i="1"/>
  <c r="J17" i="1"/>
  <c r="D17" i="1"/>
  <c r="J16" i="1"/>
  <c r="K16" i="1" s="1"/>
  <c r="J15" i="1"/>
  <c r="I15" i="1"/>
  <c r="H15" i="1"/>
  <c r="K15" i="1" s="1"/>
  <c r="J14" i="1"/>
  <c r="K14" i="1" s="1"/>
  <c r="D14" i="1"/>
  <c r="J13" i="1"/>
  <c r="J12" i="1" s="1"/>
  <c r="D13" i="1"/>
  <c r="I12" i="1"/>
  <c r="H12" i="1"/>
  <c r="H11" i="1"/>
  <c r="K11" i="1" s="1"/>
  <c r="D11" i="1"/>
  <c r="D10" i="1" s="1"/>
  <c r="D9" i="1" s="1"/>
  <c r="J10" i="1"/>
  <c r="H10" i="1"/>
  <c r="J9" i="1"/>
  <c r="H9" i="1"/>
  <c r="J8" i="1"/>
  <c r="J6" i="1" s="1"/>
  <c r="J5" i="1" s="1"/>
  <c r="H8" i="1"/>
  <c r="K7" i="1"/>
  <c r="H7" i="1"/>
  <c r="D7" i="1"/>
  <c r="D6" i="1" s="1"/>
  <c r="D5" i="1" s="1"/>
  <c r="D4" i="1" s="1"/>
  <c r="I6" i="1"/>
  <c r="I5" i="1"/>
  <c r="K48" i="1" l="1"/>
  <c r="H6" i="1"/>
  <c r="K6" i="1" s="1"/>
  <c r="K8" i="1"/>
  <c r="K9" i="1"/>
  <c r="K10" i="1"/>
  <c r="K12" i="1"/>
  <c r="I22" i="1"/>
  <c r="I4" i="1" s="1"/>
  <c r="J27" i="1"/>
  <c r="J22" i="1" s="1"/>
  <c r="J42" i="1"/>
  <c r="K42" i="1" s="1"/>
  <c r="K49" i="1"/>
  <c r="K5" i="1"/>
  <c r="K25" i="1"/>
  <c r="H5" i="1"/>
  <c r="H29" i="1"/>
  <c r="J30" i="1"/>
  <c r="J38" i="1"/>
  <c r="K38" i="1" s="1"/>
  <c r="K27" i="1" l="1"/>
  <c r="K22" i="1"/>
  <c r="J29" i="1"/>
  <c r="J4" i="1" s="1"/>
  <c r="H4" i="1"/>
  <c r="K30" i="1"/>
  <c r="K29" i="1" s="1"/>
  <c r="K4" i="1" l="1"/>
  <c r="L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훈련원행정실</author>
  </authors>
  <commentList>
    <comment ref="D50" authorId="0" shapeId="0" xr:uid="{8309925D-E96C-4801-86B1-6A71CC2A28C8}">
      <text>
        <r>
          <rPr>
            <b/>
            <sz val="9"/>
            <color indexed="81"/>
            <rFont val="돋움"/>
            <family val="3"/>
            <charset val="129"/>
          </rPr>
          <t>훈련원행정실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<sst xmlns="http://schemas.openxmlformats.org/spreadsheetml/2006/main" count="87" uniqueCount="70">
  <si>
    <t>돈보스코오라토리오 2024년 세입.세출예산(안)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</si>
  <si>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</si>
  <si>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</si>
  <si>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</si>
  <si>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금     액</t>
    <phoneticPr fontId="3" type="noConversion"/>
  </si>
  <si>
    <t>국고</t>
    <phoneticPr fontId="3" type="noConversion"/>
  </si>
  <si>
    <t>후원</t>
    <phoneticPr fontId="3" type="noConversion"/>
  </si>
  <si>
    <t>법인</t>
    <phoneticPr fontId="3" type="noConversion"/>
  </si>
  <si>
    <t>합계</t>
    <phoneticPr fontId="3" type="noConversion"/>
  </si>
  <si>
    <t>세입총합계</t>
    <phoneticPr fontId="3" type="noConversion"/>
  </si>
  <si>
    <t>세출총합계</t>
    <phoneticPr fontId="3" type="noConversion"/>
  </si>
  <si>
    <t>보조금</t>
    <phoneticPr fontId="3" type="noConversion"/>
  </si>
  <si>
    <t>사무비</t>
    <phoneticPr fontId="3" type="noConversion"/>
  </si>
  <si>
    <t>인건비</t>
    <phoneticPr fontId="3" type="noConversion"/>
  </si>
  <si>
    <t>국고보조금</t>
    <phoneticPr fontId="3" type="noConversion"/>
  </si>
  <si>
    <t>급여</t>
    <phoneticPr fontId="3" type="noConversion"/>
  </si>
  <si>
    <t>기타보조금(지원사업)</t>
    <phoneticPr fontId="3" type="noConversion"/>
  </si>
  <si>
    <t>제수당</t>
    <phoneticPr fontId="3" type="noConversion"/>
  </si>
  <si>
    <t>후원금수입</t>
    <phoneticPr fontId="3" type="noConversion"/>
  </si>
  <si>
    <t>퇴직금및퇴직적립금</t>
    <phoneticPr fontId="3" type="noConversion"/>
  </si>
  <si>
    <t>사회보험부담금</t>
    <phoneticPr fontId="3" type="noConversion"/>
  </si>
  <si>
    <t>지정후원금</t>
    <phoneticPr fontId="3" type="noConversion"/>
  </si>
  <si>
    <t>기타후생경비</t>
    <phoneticPr fontId="3" type="noConversion"/>
  </si>
  <si>
    <t>비지정후원금</t>
    <phoneticPr fontId="3" type="noConversion"/>
  </si>
  <si>
    <t>업무추진비</t>
    <phoneticPr fontId="3" type="noConversion"/>
  </si>
  <si>
    <t>전입금</t>
    <phoneticPr fontId="3" type="noConversion"/>
  </si>
  <si>
    <t xml:space="preserve"> </t>
    <phoneticPr fontId="3" type="noConversion"/>
  </si>
  <si>
    <t>회의비</t>
    <phoneticPr fontId="3" type="noConversion"/>
  </si>
  <si>
    <t>기관운영비</t>
    <phoneticPr fontId="3" type="noConversion"/>
  </si>
  <si>
    <t>법입</t>
    <phoneticPr fontId="3" type="noConversion"/>
  </si>
  <si>
    <t>운영비</t>
    <phoneticPr fontId="3" type="noConversion"/>
  </si>
  <si>
    <t>법원</t>
    <phoneticPr fontId="3" type="noConversion"/>
  </si>
  <si>
    <t>여비</t>
    <phoneticPr fontId="3" type="noConversion"/>
  </si>
  <si>
    <t>이월금</t>
    <phoneticPr fontId="3" type="noConversion"/>
  </si>
  <si>
    <t>수용비및수수료</t>
    <phoneticPr fontId="3" type="noConversion"/>
  </si>
  <si>
    <t>공공요금</t>
    <phoneticPr fontId="3" type="noConversion"/>
  </si>
  <si>
    <t>전년도이월금(보조금)</t>
    <phoneticPr fontId="3" type="noConversion"/>
  </si>
  <si>
    <t>제세공과금</t>
    <phoneticPr fontId="3" type="noConversion"/>
  </si>
  <si>
    <t>전년도이월금(후원금)</t>
    <phoneticPr fontId="3" type="noConversion"/>
  </si>
  <si>
    <t>차량비</t>
    <phoneticPr fontId="3" type="noConversion"/>
  </si>
  <si>
    <t>전년도이월금(지원사업)</t>
    <phoneticPr fontId="3" type="noConversion"/>
  </si>
  <si>
    <t>기타운영비</t>
    <phoneticPr fontId="3" type="noConversion"/>
  </si>
  <si>
    <t>전년도이월금(법인)</t>
    <phoneticPr fontId="3" type="noConversion"/>
  </si>
  <si>
    <t>재산조성비</t>
    <phoneticPr fontId="3" type="noConversion"/>
  </si>
  <si>
    <t>전년도이월금(법원)</t>
    <phoneticPr fontId="3" type="noConversion"/>
  </si>
  <si>
    <t>시설비</t>
    <phoneticPr fontId="3" type="noConversion"/>
  </si>
  <si>
    <t>잡수입</t>
    <phoneticPr fontId="3" type="noConversion"/>
  </si>
  <si>
    <t>자산취득비</t>
    <phoneticPr fontId="3" type="noConversion"/>
  </si>
  <si>
    <t>과년도지출(법인)</t>
    <phoneticPr fontId="3" type="noConversion"/>
  </si>
  <si>
    <t>기타잡수입(법인-식대)</t>
    <phoneticPr fontId="3" type="noConversion"/>
  </si>
  <si>
    <t>시설장비유지비</t>
    <phoneticPr fontId="3" type="noConversion"/>
  </si>
  <si>
    <t>기타잡수입(법인)</t>
    <phoneticPr fontId="3" type="noConversion"/>
  </si>
  <si>
    <t>사업비</t>
    <phoneticPr fontId="3" type="noConversion"/>
  </si>
  <si>
    <t>생계비</t>
    <phoneticPr fontId="3" type="noConversion"/>
  </si>
  <si>
    <t>수용기관경비</t>
    <phoneticPr fontId="3" type="noConversion"/>
  </si>
  <si>
    <t>피복비</t>
    <phoneticPr fontId="3" type="noConversion"/>
  </si>
  <si>
    <t>의료비</t>
    <phoneticPr fontId="3" type="noConversion"/>
  </si>
  <si>
    <t>직업재활비</t>
    <phoneticPr fontId="3" type="noConversion"/>
  </si>
  <si>
    <t>특별급식비</t>
    <phoneticPr fontId="3" type="noConversion"/>
  </si>
  <si>
    <t>연료비</t>
    <phoneticPr fontId="3" type="noConversion"/>
  </si>
  <si>
    <t>교육비</t>
    <phoneticPr fontId="3" type="noConversion"/>
  </si>
  <si>
    <t>학습지원비</t>
    <phoneticPr fontId="3" type="noConversion"/>
  </si>
  <si>
    <t>수학여행비</t>
    <phoneticPr fontId="3" type="noConversion"/>
  </si>
  <si>
    <t>기타교육비</t>
    <phoneticPr fontId="3" type="noConversion"/>
  </si>
  <si>
    <t>사회심리재활사업비</t>
    <phoneticPr fontId="3" type="noConversion"/>
  </si>
  <si>
    <t>자립사업비</t>
    <phoneticPr fontId="3" type="noConversion"/>
  </si>
  <si>
    <t>지역네트워크사업비</t>
    <phoneticPr fontId="3" type="noConversion"/>
  </si>
  <si>
    <t>치료사업비</t>
    <phoneticPr fontId="3" type="noConversion"/>
  </si>
  <si>
    <t>정보화사업비</t>
    <phoneticPr fontId="3" type="noConversion"/>
  </si>
  <si>
    <t>과년도지출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</si>
</sst>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휴먼엑스포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indexed="64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1" fontId="2" fillId="0" borderId="0" xfId="1" applyFont="1" applyAlignment="1">
      <alignment horizontal="center" vertical="center" shrinkToFit="1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 shrinkToFit="1"/>
    </xf>
    <xf numFmtId="41" fontId="0" fillId="0" borderId="0" xfId="1" applyFont="1" applyAlignment="1">
      <alignment vertical="center" shrinkToFit="1"/>
    </xf>
    <xf numFmtId="41" fontId="0" fillId="0" borderId="0" xfId="1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 shrinkToFit="1"/>
    </xf>
    <xf numFmtId="41" fontId="5" fillId="0" borderId="7" xfId="1" applyFont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9" xfId="1" applyFont="1" applyBorder="1">
      <alignment vertical="center"/>
    </xf>
    <xf numFmtId="41" fontId="5" fillId="0" borderId="10" xfId="1" applyFont="1" applyBorder="1" applyAlignment="1">
      <alignment horizontal="center" vertical="center" shrinkToFit="1"/>
    </xf>
    <xf numFmtId="41" fontId="5" fillId="0" borderId="11" xfId="1" applyFont="1" applyBorder="1" applyAlignment="1">
      <alignment horizontal="center" vertical="center" shrinkToFit="1"/>
    </xf>
    <xf numFmtId="41" fontId="5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4" fillId="3" borderId="13" xfId="1" applyFont="1" applyFill="1" applyBorder="1" applyAlignment="1">
      <alignment horizontal="center" vertical="center" shrinkToFit="1"/>
    </xf>
    <xf numFmtId="41" fontId="4" fillId="3" borderId="14" xfId="1" applyFont="1" applyFill="1" applyBorder="1" applyAlignment="1">
      <alignment horizontal="center" vertical="center" shrinkToFit="1"/>
    </xf>
    <xf numFmtId="41" fontId="4" fillId="3" borderId="15" xfId="1" applyFont="1" applyFill="1" applyBorder="1">
      <alignment vertical="center"/>
    </xf>
    <xf numFmtId="41" fontId="4" fillId="3" borderId="16" xfId="1" applyFont="1" applyFill="1" applyBorder="1" applyAlignment="1">
      <alignment vertical="center" shrinkToFit="1"/>
    </xf>
    <xf numFmtId="41" fontId="4" fillId="3" borderId="14" xfId="1" applyFont="1" applyFill="1" applyBorder="1" applyAlignment="1">
      <alignment vertical="center" shrinkToFit="1"/>
    </xf>
    <xf numFmtId="41" fontId="4" fillId="3" borderId="17" xfId="1" applyFont="1" applyFill="1" applyBorder="1" applyAlignment="1">
      <alignment horizontal="center" vertical="center" shrinkToFit="1"/>
    </xf>
    <xf numFmtId="41" fontId="0" fillId="0" borderId="13" xfId="1" applyFont="1" applyBorder="1" applyAlignment="1">
      <alignment horizontal="center" vertical="center" shrinkToFit="1"/>
    </xf>
    <xf numFmtId="41" fontId="0" fillId="4" borderId="14" xfId="1" applyFont="1" applyFill="1" applyBorder="1" applyAlignment="1">
      <alignment horizontal="center" vertical="center" shrinkToFit="1"/>
    </xf>
    <xf numFmtId="41" fontId="0" fillId="4" borderId="15" xfId="1" applyFont="1" applyFill="1" applyBorder="1">
      <alignment vertical="center"/>
    </xf>
    <xf numFmtId="41" fontId="0" fillId="0" borderId="16" xfId="1" applyFont="1" applyBorder="1" applyAlignment="1">
      <alignment vertical="center" shrinkToFit="1"/>
    </xf>
    <xf numFmtId="41" fontId="4" fillId="4" borderId="14" xfId="1" applyFont="1" applyFill="1" applyBorder="1" applyAlignment="1">
      <alignment vertical="center" shrinkToFit="1"/>
    </xf>
    <xf numFmtId="41" fontId="4" fillId="4" borderId="14" xfId="1" applyFont="1" applyFill="1" applyBorder="1" applyAlignment="1">
      <alignment horizontal="center" vertical="center" shrinkToFit="1"/>
    </xf>
    <xf numFmtId="41" fontId="4" fillId="4" borderId="17" xfId="1" applyFont="1" applyFill="1" applyBorder="1" applyAlignment="1">
      <alignment horizontal="center" vertical="center" shrinkToFit="1"/>
    </xf>
    <xf numFmtId="41" fontId="0" fillId="0" borderId="14" xfId="1" applyFont="1" applyBorder="1" applyAlignment="1">
      <alignment horizontal="center" vertical="center" shrinkToFit="1"/>
    </xf>
    <xf numFmtId="41" fontId="0" fillId="5" borderId="14" xfId="1" applyFont="1" applyFill="1" applyBorder="1" applyAlignment="1">
      <alignment horizontal="center" vertical="center" shrinkToFit="1"/>
    </xf>
    <xf numFmtId="41" fontId="0" fillId="5" borderId="15" xfId="1" applyFont="1" applyFill="1" applyBorder="1">
      <alignment vertical="center"/>
    </xf>
    <xf numFmtId="41" fontId="0" fillId="0" borderId="14" xfId="1" applyFont="1" applyBorder="1" applyAlignment="1">
      <alignment vertical="center" shrinkToFit="1"/>
    </xf>
    <xf numFmtId="41" fontId="0" fillId="0" borderId="14" xfId="1" applyFont="1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41" fontId="4" fillId="4" borderId="14" xfId="1" applyFont="1" applyFill="1" applyBorder="1" applyAlignment="1">
      <alignment horizontal="center" vertical="center"/>
    </xf>
    <xf numFmtId="41" fontId="4" fillId="3" borderId="14" xfId="1" applyFont="1" applyFill="1" applyBorder="1" applyAlignment="1">
      <alignment horizontal="center" vertical="center"/>
    </xf>
    <xf numFmtId="41" fontId="4" fillId="3" borderId="17" xfId="1" applyFont="1" applyFill="1" applyBorder="1" applyAlignment="1">
      <alignment horizontal="center" vertical="center"/>
    </xf>
    <xf numFmtId="41" fontId="0" fillId="0" borderId="18" xfId="1" applyFont="1" applyBorder="1" applyAlignment="1">
      <alignment horizontal="center" vertical="center" shrinkToFit="1"/>
    </xf>
    <xf numFmtId="41" fontId="0" fillId="0" borderId="19" xfId="1" applyFont="1" applyBorder="1" applyAlignment="1">
      <alignment horizontal="center" vertical="center" shrinkToFit="1"/>
    </xf>
    <xf numFmtId="41" fontId="0" fillId="0" borderId="20" xfId="1" applyFont="1" applyBorder="1">
      <alignment vertical="center"/>
    </xf>
    <xf numFmtId="41" fontId="0" fillId="0" borderId="21" xfId="1" applyFont="1" applyBorder="1" applyAlignment="1">
      <alignment horizontal="center" vertical="center" shrinkToFit="1"/>
    </xf>
    <xf numFmtId="41" fontId="0" fillId="0" borderId="22" xfId="1" applyFont="1" applyBorder="1" applyAlignment="1">
      <alignment horizontal="center" vertical="center" shrinkToFit="1"/>
    </xf>
    <xf numFmtId="41" fontId="0" fillId="0" borderId="23" xfId="1" applyFont="1" applyBorder="1">
      <alignment vertical="center"/>
    </xf>
    <xf numFmtId="41" fontId="0" fillId="3" borderId="14" xfId="1" applyFont="1" applyFill="1" applyBorder="1" applyAlignment="1">
      <alignment horizontal="center" vertical="center"/>
    </xf>
    <xf numFmtId="41" fontId="4" fillId="4" borderId="17" xfId="1" applyFont="1" applyFill="1" applyBorder="1" applyAlignment="1">
      <alignment horizontal="center" vertical="center"/>
    </xf>
    <xf numFmtId="41" fontId="0" fillId="0" borderId="24" xfId="1" applyFont="1" applyBorder="1" applyAlignment="1">
      <alignment horizontal="center" vertical="center" shrinkToFit="1"/>
    </xf>
    <xf numFmtId="41" fontId="0" fillId="0" borderId="25" xfId="1" applyFont="1" applyBorder="1" applyAlignment="1">
      <alignment horizontal="center" vertical="center" shrinkToFit="1"/>
    </xf>
    <xf numFmtId="41" fontId="0" fillId="0" borderId="26" xfId="1" applyFont="1" applyBorder="1">
      <alignment vertical="center"/>
    </xf>
    <xf numFmtId="41" fontId="0" fillId="0" borderId="27" xfId="1" applyFont="1" applyBorder="1" applyAlignment="1">
      <alignment vertical="center" shrinkToFit="1"/>
    </xf>
    <xf numFmtId="41" fontId="0" fillId="0" borderId="28" xfId="1" applyFont="1" applyBorder="1" applyAlignment="1">
      <alignment vertical="center" shrinkToFit="1"/>
    </xf>
    <xf numFmtId="41" fontId="0" fillId="0" borderId="28" xfId="1" applyFont="1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4&#45380;&#50696;&#4932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2024)세입내역서(국고)"/>
      <sheetName val="(2024)세출내역서(국고)"/>
      <sheetName val="(2024)세입내역서(법인)"/>
      <sheetName val="(2024)세출내역서(법인)"/>
      <sheetName val="(2024)세입내역서(법원)"/>
      <sheetName val="(2024)세출내역서(법원)"/>
      <sheetName val="(2024)세입내역서(후원)"/>
      <sheetName val="(2024)세출내역서(후원)"/>
      <sheetName val="예산"/>
      <sheetName val="Sheet1"/>
    </sheetNames>
    <sheetDataSet>
      <sheetData sheetId="0">
        <row r="5">
          <cell r="E5">
            <v>2400000</v>
          </cell>
        </row>
        <row r="6">
          <cell r="E6">
            <v>95124000</v>
          </cell>
        </row>
        <row r="7">
          <cell r="E7">
            <v>360000</v>
          </cell>
        </row>
        <row r="8">
          <cell r="E8">
            <v>33600000</v>
          </cell>
        </row>
        <row r="9">
          <cell r="E9">
            <v>165793900</v>
          </cell>
        </row>
        <row r="10">
          <cell r="E10">
            <v>26754480</v>
          </cell>
        </row>
        <row r="11">
          <cell r="E11">
            <v>17580000</v>
          </cell>
        </row>
        <row r="13">
          <cell r="E13">
            <v>133757870</v>
          </cell>
        </row>
        <row r="14">
          <cell r="E14">
            <v>9600000</v>
          </cell>
        </row>
        <row r="31">
          <cell r="E31">
            <v>1876965620</v>
          </cell>
        </row>
      </sheetData>
      <sheetData sheetId="1">
        <row r="4">
          <cell r="D4">
            <v>950851000</v>
          </cell>
        </row>
        <row r="12">
          <cell r="F12">
            <v>107705130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45296-3318-4DB7-B3A8-A77D4E884587}">
  <dimension ref="A1:L53"/>
  <sheetViews>
    <sheetView tabSelected="1" workbookViewId="0">
      <selection activeCell="I10" sqref="I10"/>
    </sheetView>
  </sheetViews>
  <sheetFormatPr defaultColWidth="9" defaultRowHeight="16.5" x14ac:dyDescent="0.3"/>
  <cols>
    <col min="1" max="3" width="12.625" style="3" customWidth="1"/>
    <col min="4" max="4" width="17.875" style="2" bestFit="1" customWidth="1"/>
    <col min="5" max="6" width="8.625" style="4" customWidth="1"/>
    <col min="7" max="7" width="12.625" style="4" customWidth="1"/>
    <col min="8" max="11" width="15.625" style="5" customWidth="1"/>
    <col min="12" max="12" width="14.25" style="2" customWidth="1"/>
    <col min="13" max="13" width="14.625" style="2" bestFit="1" customWidth="1"/>
    <col min="14" max="16384" width="9" style="2"/>
  </cols>
  <sheetData>
    <row r="1" spans="1:12" ht="22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ht="18" customHeight="1" thickBot="1" x14ac:dyDescent="0.35"/>
    <row r="3" spans="1:12" ht="33" customHeight="1" thickBot="1" x14ac:dyDescent="0.35">
      <c r="A3" s="6" t="s">
        <v>1</v>
      </c>
      <c r="B3" s="7" t="s">
        <v>2</v>
      </c>
      <c r="C3" s="7" t="s">
        <v>3</v>
      </c>
      <c r="D3" s="8" t="s">
        <v>4</v>
      </c>
      <c r="E3" s="9" t="s">
        <v>1</v>
      </c>
      <c r="F3" s="7" t="s">
        <v>2</v>
      </c>
      <c r="G3" s="7" t="s">
        <v>3</v>
      </c>
      <c r="H3" s="10" t="s">
        <v>5</v>
      </c>
      <c r="I3" s="10" t="s">
        <v>6</v>
      </c>
      <c r="J3" s="10" t="s">
        <v>7</v>
      </c>
      <c r="K3" s="11" t="s">
        <v>8</v>
      </c>
    </row>
    <row r="4" spans="1:12" ht="18" customHeight="1" thickTop="1" x14ac:dyDescent="0.3">
      <c r="A4" s="12" t="s">
        <v>9</v>
      </c>
      <c r="B4" s="13"/>
      <c r="C4" s="14"/>
      <c r="D4" s="15">
        <f>D5+D9+D13+D17+D24</f>
        <v>2077996259</v>
      </c>
      <c r="E4" s="16" t="s">
        <v>10</v>
      </c>
      <c r="F4" s="13"/>
      <c r="G4" s="14"/>
      <c r="H4" s="17">
        <f>H5+H22+H29+H48</f>
        <v>1876965620</v>
      </c>
      <c r="I4" s="18">
        <f>I5+I22+I29+I48</f>
        <v>30000000</v>
      </c>
      <c r="J4" s="18">
        <f>J5+J22+J29+J48</f>
        <v>171030639</v>
      </c>
      <c r="K4" s="19">
        <f>K5+K22+K29+K48</f>
        <v>2077996259</v>
      </c>
      <c r="L4" s="2">
        <f>D4-K4</f>
        <v>0</v>
      </c>
    </row>
    <row r="5" spans="1:12" ht="18" customHeight="1" x14ac:dyDescent="0.3">
      <c r="A5" s="20" t="s">
        <v>11</v>
      </c>
      <c r="B5" s="21"/>
      <c r="C5" s="21"/>
      <c r="D5" s="22">
        <f>D6</f>
        <v>1876965620</v>
      </c>
      <c r="E5" s="23" t="s">
        <v>12</v>
      </c>
      <c r="F5" s="24"/>
      <c r="G5" s="24"/>
      <c r="H5" s="21">
        <f>H6+H12+H15</f>
        <v>1585077180</v>
      </c>
      <c r="I5" s="21">
        <f>I6+I12+I15</f>
        <v>290000</v>
      </c>
      <c r="J5" s="21">
        <f>J6+J12+J15</f>
        <v>42868639</v>
      </c>
      <c r="K5" s="25">
        <f>K6+K12+K15</f>
        <v>1628235819</v>
      </c>
    </row>
    <row r="6" spans="1:12" ht="18" customHeight="1" x14ac:dyDescent="0.3">
      <c r="A6" s="26"/>
      <c r="B6" s="27" t="s">
        <v>11</v>
      </c>
      <c r="C6" s="27"/>
      <c r="D6" s="28">
        <f>SUM(D7:D8)</f>
        <v>1876965620</v>
      </c>
      <c r="E6" s="29"/>
      <c r="F6" s="30" t="s">
        <v>13</v>
      </c>
      <c r="G6" s="30"/>
      <c r="H6" s="31">
        <f>SUM(H7:H11)</f>
        <v>1543526380</v>
      </c>
      <c r="I6" s="31">
        <f>SUM(I7:I11)</f>
        <v>0</v>
      </c>
      <c r="J6" s="31">
        <f>SUM(J7:J11)</f>
        <v>8102310</v>
      </c>
      <c r="K6" s="32">
        <f>SUM(H6:J6)</f>
        <v>1551628690</v>
      </c>
    </row>
    <row r="7" spans="1:12" ht="18" customHeight="1" x14ac:dyDescent="0.3">
      <c r="A7" s="26"/>
      <c r="B7" s="33"/>
      <c r="C7" s="34" t="s">
        <v>14</v>
      </c>
      <c r="D7" s="35">
        <f>'[1](2024)세입내역서(국고)'!E31</f>
        <v>1876965620</v>
      </c>
      <c r="E7" s="29"/>
      <c r="F7" s="36"/>
      <c r="G7" s="36" t="s">
        <v>15</v>
      </c>
      <c r="H7" s="37">
        <f>'[1](2024)세출내역서(국고)'!D4</f>
        <v>950851000</v>
      </c>
      <c r="I7" s="37"/>
      <c r="J7" s="37"/>
      <c r="K7" s="38">
        <f>H7+I7+J7</f>
        <v>950851000</v>
      </c>
    </row>
    <row r="8" spans="1:12" ht="18" customHeight="1" x14ac:dyDescent="0.3">
      <c r="A8" s="26"/>
      <c r="B8" s="33"/>
      <c r="C8" s="34" t="s">
        <v>16</v>
      </c>
      <c r="D8" s="35"/>
      <c r="E8" s="29"/>
      <c r="F8" s="36"/>
      <c r="G8" s="36" t="s">
        <v>17</v>
      </c>
      <c r="H8" s="37">
        <f>'[1](2024)세입내역서(국고)'!E5+'[1](2024)세입내역서(국고)'!E6+'[1](2024)세입내역서(국고)'!E7+'[1](2024)세입내역서(국고)'!E8+'[1](2024)세입내역서(국고)'!E9+'[1](2024)세입내역서(국고)'!E10+'[1](2024)세입내역서(국고)'!E11</f>
        <v>341612380</v>
      </c>
      <c r="I8" s="37"/>
      <c r="J8" s="37">
        <f>3240000+3600000</f>
        <v>6840000</v>
      </c>
      <c r="K8" s="38">
        <f t="shared" ref="K8:K47" si="0">H8+I8+J8</f>
        <v>348452380</v>
      </c>
    </row>
    <row r="9" spans="1:12" ht="18" customHeight="1" x14ac:dyDescent="0.3">
      <c r="A9" s="20" t="s">
        <v>18</v>
      </c>
      <c r="B9" s="21"/>
      <c r="C9" s="21"/>
      <c r="D9" s="22">
        <f>D10</f>
        <v>3000000</v>
      </c>
      <c r="E9" s="29"/>
      <c r="F9" s="36"/>
      <c r="G9" s="36" t="s">
        <v>19</v>
      </c>
      <c r="H9" s="37">
        <f>'[1](2024)세출내역서(국고)'!F12</f>
        <v>107705130</v>
      </c>
      <c r="I9" s="37"/>
      <c r="J9" s="37">
        <f>270000+300000</f>
        <v>570000</v>
      </c>
      <c r="K9" s="38">
        <f t="shared" si="0"/>
        <v>108275130</v>
      </c>
    </row>
    <row r="10" spans="1:12" ht="18" customHeight="1" x14ac:dyDescent="0.3">
      <c r="A10" s="26"/>
      <c r="B10" s="27" t="s">
        <v>18</v>
      </c>
      <c r="C10" s="27"/>
      <c r="D10" s="28">
        <f>D11+D12</f>
        <v>3000000</v>
      </c>
      <c r="E10" s="29"/>
      <c r="F10" s="36"/>
      <c r="G10" s="36" t="s">
        <v>20</v>
      </c>
      <c r="H10" s="37">
        <f>'[1](2024)세입내역서(국고)'!E13</f>
        <v>133757870</v>
      </c>
      <c r="I10" s="37"/>
      <c r="J10" s="37">
        <f>327930+364380</f>
        <v>692310</v>
      </c>
      <c r="K10" s="38">
        <f t="shared" si="0"/>
        <v>134450180</v>
      </c>
    </row>
    <row r="11" spans="1:12" ht="18" customHeight="1" x14ac:dyDescent="0.3">
      <c r="A11" s="26"/>
      <c r="B11" s="33"/>
      <c r="C11" s="34" t="s">
        <v>21</v>
      </c>
      <c r="D11" s="35">
        <f>'[1](2024)세입내역서(후원)'!E5+'[1](2024)세입내역서(후원)'!E6+'[1](2024)세입내역서(후원)'!E7+'[1](2024)세입내역서(후원)'!E8</f>
        <v>0</v>
      </c>
      <c r="E11" s="29"/>
      <c r="F11" s="36"/>
      <c r="G11" s="36" t="s">
        <v>22</v>
      </c>
      <c r="H11" s="37">
        <f>'[1](2024)세입내역서(국고)'!E14</f>
        <v>9600000</v>
      </c>
      <c r="I11" s="37"/>
      <c r="J11" s="37"/>
      <c r="K11" s="38">
        <f t="shared" si="0"/>
        <v>9600000</v>
      </c>
    </row>
    <row r="12" spans="1:12" ht="18" customHeight="1" x14ac:dyDescent="0.3">
      <c r="A12" s="26"/>
      <c r="B12" s="33"/>
      <c r="C12" s="34" t="s">
        <v>23</v>
      </c>
      <c r="D12" s="35">
        <v>3000000</v>
      </c>
      <c r="E12" s="29"/>
      <c r="F12" s="30" t="s">
        <v>24</v>
      </c>
      <c r="G12" s="30"/>
      <c r="H12" s="39">
        <f>SUM(H13:H14)</f>
        <v>0</v>
      </c>
      <c r="I12" s="39">
        <f>SUM(I13:I14)</f>
        <v>0</v>
      </c>
      <c r="J12" s="39">
        <f>SUM(J13:J14)</f>
        <v>2100000</v>
      </c>
      <c r="K12" s="32">
        <f>SUM(H12:J12)</f>
        <v>2100000</v>
      </c>
    </row>
    <row r="13" spans="1:12" ht="18" customHeight="1" x14ac:dyDescent="0.3">
      <c r="A13" s="20" t="s">
        <v>25</v>
      </c>
      <c r="B13" s="21"/>
      <c r="C13" s="21" t="s">
        <v>26</v>
      </c>
      <c r="D13" s="22">
        <f>D14</f>
        <v>27561788</v>
      </c>
      <c r="E13" s="29"/>
      <c r="F13" s="36"/>
      <c r="G13" s="36" t="s">
        <v>27</v>
      </c>
      <c r="H13" s="37"/>
      <c r="I13" s="37"/>
      <c r="J13" s="37">
        <f>1600000</f>
        <v>1600000</v>
      </c>
      <c r="K13" s="38">
        <f>SUM(J13)</f>
        <v>1600000</v>
      </c>
    </row>
    <row r="14" spans="1:12" ht="18" customHeight="1" x14ac:dyDescent="0.3">
      <c r="A14" s="26"/>
      <c r="B14" s="27" t="s">
        <v>25</v>
      </c>
      <c r="C14" s="27"/>
      <c r="D14" s="28">
        <f>D15+D16</f>
        <v>27561788</v>
      </c>
      <c r="E14" s="29"/>
      <c r="F14" s="36"/>
      <c r="G14" s="36" t="s">
        <v>28</v>
      </c>
      <c r="H14" s="37"/>
      <c r="I14" s="37"/>
      <c r="J14" s="37">
        <f>500000</f>
        <v>500000</v>
      </c>
      <c r="K14" s="38">
        <f t="shared" si="0"/>
        <v>500000</v>
      </c>
    </row>
    <row r="15" spans="1:12" ht="18" customHeight="1" x14ac:dyDescent="0.3">
      <c r="A15" s="26"/>
      <c r="B15" s="33"/>
      <c r="C15" s="34" t="s">
        <v>29</v>
      </c>
      <c r="D15" s="35"/>
      <c r="E15" s="29"/>
      <c r="F15" s="30" t="s">
        <v>30</v>
      </c>
      <c r="G15" s="30"/>
      <c r="H15" s="39">
        <f>SUM(H16:H21)</f>
        <v>41550800</v>
      </c>
      <c r="I15" s="39">
        <f t="shared" ref="I15:J15" si="1">SUM(I16:I21)</f>
        <v>290000</v>
      </c>
      <c r="J15" s="39">
        <f t="shared" si="1"/>
        <v>32666329</v>
      </c>
      <c r="K15" s="32">
        <f>SUM(H15:J15)</f>
        <v>74507129</v>
      </c>
    </row>
    <row r="16" spans="1:12" ht="18" customHeight="1" x14ac:dyDescent="0.3">
      <c r="A16" s="26"/>
      <c r="B16" s="33"/>
      <c r="C16" s="33" t="s">
        <v>31</v>
      </c>
      <c r="D16" s="35">
        <v>27561788</v>
      </c>
      <c r="E16" s="29"/>
      <c r="F16" s="36"/>
      <c r="G16" s="36" t="s">
        <v>32</v>
      </c>
      <c r="H16" s="37">
        <v>4100000</v>
      </c>
      <c r="I16" s="37"/>
      <c r="J16" s="37">
        <f>1000000</f>
        <v>1000000</v>
      </c>
      <c r="K16" s="38">
        <f t="shared" si="0"/>
        <v>5100000</v>
      </c>
    </row>
    <row r="17" spans="1:11" ht="18" customHeight="1" x14ac:dyDescent="0.3">
      <c r="A17" s="20" t="s">
        <v>33</v>
      </c>
      <c r="B17" s="21"/>
      <c r="C17" s="21"/>
      <c r="D17" s="22">
        <f>D18</f>
        <v>144548851</v>
      </c>
      <c r="E17" s="29"/>
      <c r="F17" s="36"/>
      <c r="G17" s="36" t="s">
        <v>34</v>
      </c>
      <c r="H17" s="37">
        <v>9090800</v>
      </c>
      <c r="I17" s="37">
        <v>290000</v>
      </c>
      <c r="J17" s="37">
        <f>1672709+15412000</f>
        <v>17084709</v>
      </c>
      <c r="K17" s="38">
        <f t="shared" si="0"/>
        <v>26465509</v>
      </c>
    </row>
    <row r="18" spans="1:11" ht="18" customHeight="1" x14ac:dyDescent="0.3">
      <c r="A18" s="26"/>
      <c r="B18" s="27" t="s">
        <v>33</v>
      </c>
      <c r="C18" s="27"/>
      <c r="D18" s="28">
        <f>D19+D20+D21+D22+D23</f>
        <v>144548851</v>
      </c>
      <c r="E18" s="29"/>
      <c r="F18" s="36"/>
      <c r="G18" s="36" t="s">
        <v>35</v>
      </c>
      <c r="H18" s="37">
        <v>23490000</v>
      </c>
      <c r="I18" s="37"/>
      <c r="J18" s="37">
        <f>5541620</f>
        <v>5541620</v>
      </c>
      <c r="K18" s="38">
        <f t="shared" si="0"/>
        <v>29031620</v>
      </c>
    </row>
    <row r="19" spans="1:11" ht="18" customHeight="1" x14ac:dyDescent="0.3">
      <c r="A19" s="26"/>
      <c r="B19" s="33"/>
      <c r="C19" s="34" t="s">
        <v>36</v>
      </c>
      <c r="D19" s="35"/>
      <c r="E19" s="29"/>
      <c r="F19" s="36"/>
      <c r="G19" s="36" t="s">
        <v>37</v>
      </c>
      <c r="H19" s="37">
        <v>3420000</v>
      </c>
      <c r="I19" s="37"/>
      <c r="J19" s="37">
        <f>5600000</f>
        <v>5600000</v>
      </c>
      <c r="K19" s="38">
        <f t="shared" si="0"/>
        <v>9020000</v>
      </c>
    </row>
    <row r="20" spans="1:11" ht="18" customHeight="1" x14ac:dyDescent="0.3">
      <c r="A20" s="26"/>
      <c r="B20" s="33"/>
      <c r="C20" s="34" t="s">
        <v>38</v>
      </c>
      <c r="D20" s="35">
        <v>27000000</v>
      </c>
      <c r="E20" s="29"/>
      <c r="F20" s="36"/>
      <c r="G20" s="36" t="s">
        <v>39</v>
      </c>
      <c r="H20" s="37">
        <v>1100000</v>
      </c>
      <c r="I20" s="37"/>
      <c r="J20" s="37">
        <f>1000000</f>
        <v>1000000</v>
      </c>
      <c r="K20" s="38">
        <f t="shared" si="0"/>
        <v>2100000</v>
      </c>
    </row>
    <row r="21" spans="1:11" ht="18" customHeight="1" x14ac:dyDescent="0.3">
      <c r="A21" s="26"/>
      <c r="B21" s="33"/>
      <c r="C21" s="34" t="s">
        <v>40</v>
      </c>
      <c r="D21" s="35"/>
      <c r="E21" s="29"/>
      <c r="F21" s="36"/>
      <c r="G21" s="36" t="s">
        <v>41</v>
      </c>
      <c r="H21" s="37">
        <v>350000</v>
      </c>
      <c r="I21" s="37"/>
      <c r="J21" s="37">
        <f>2440000</f>
        <v>2440000</v>
      </c>
      <c r="K21" s="38">
        <f t="shared" si="0"/>
        <v>2790000</v>
      </c>
    </row>
    <row r="22" spans="1:11" ht="18" customHeight="1" x14ac:dyDescent="0.3">
      <c r="A22" s="26"/>
      <c r="B22" s="33"/>
      <c r="C22" s="34" t="s">
        <v>42</v>
      </c>
      <c r="D22" s="35">
        <v>15110639</v>
      </c>
      <c r="E22" s="23" t="s">
        <v>43</v>
      </c>
      <c r="F22" s="24" t="s">
        <v>26</v>
      </c>
      <c r="G22" s="24"/>
      <c r="H22" s="40">
        <f>H23+H25+H27</f>
        <v>0</v>
      </c>
      <c r="I22" s="40">
        <f t="shared" ref="I22:K22" si="2">I23+I25+I27</f>
        <v>0</v>
      </c>
      <c r="J22" s="40">
        <f t="shared" si="2"/>
        <v>13000000</v>
      </c>
      <c r="K22" s="41">
        <f t="shared" si="2"/>
        <v>13000000</v>
      </c>
    </row>
    <row r="23" spans="1:11" ht="18" customHeight="1" x14ac:dyDescent="0.3">
      <c r="A23" s="26"/>
      <c r="B23" s="33"/>
      <c r="C23" s="34" t="s">
        <v>44</v>
      </c>
      <c r="D23" s="35">
        <v>102438212</v>
      </c>
      <c r="E23" s="29"/>
      <c r="F23" s="30" t="s">
        <v>45</v>
      </c>
      <c r="G23" s="30"/>
      <c r="H23" s="39">
        <f>H24</f>
        <v>0</v>
      </c>
      <c r="I23" s="39">
        <f t="shared" ref="I23:J23" si="3">I24</f>
        <v>0</v>
      </c>
      <c r="J23" s="39">
        <f t="shared" si="3"/>
        <v>0</v>
      </c>
      <c r="K23" s="32">
        <f>SUM(H23:J23)</f>
        <v>0</v>
      </c>
    </row>
    <row r="24" spans="1:11" ht="18" customHeight="1" x14ac:dyDescent="0.3">
      <c r="A24" s="20" t="s">
        <v>46</v>
      </c>
      <c r="B24" s="21"/>
      <c r="C24" s="21"/>
      <c r="D24" s="22">
        <f>D25</f>
        <v>25920000</v>
      </c>
      <c r="E24" s="29"/>
      <c r="F24" s="36"/>
      <c r="G24" s="36" t="s">
        <v>45</v>
      </c>
      <c r="H24" s="37">
        <v>0</v>
      </c>
      <c r="I24" s="37"/>
      <c r="J24" s="37"/>
      <c r="K24" s="38">
        <f t="shared" si="0"/>
        <v>0</v>
      </c>
    </row>
    <row r="25" spans="1:11" ht="18" customHeight="1" x14ac:dyDescent="0.3">
      <c r="A25" s="26"/>
      <c r="B25" s="27" t="s">
        <v>46</v>
      </c>
      <c r="C25" s="27"/>
      <c r="D25" s="28">
        <f>SUM(D26:D29)</f>
        <v>25920000</v>
      </c>
      <c r="E25" s="29"/>
      <c r="F25" s="30" t="s">
        <v>47</v>
      </c>
      <c r="G25" s="30"/>
      <c r="H25" s="39">
        <f>H26</f>
        <v>0</v>
      </c>
      <c r="I25" s="39">
        <f t="shared" ref="I25:J25" si="4">I26</f>
        <v>0</v>
      </c>
      <c r="J25" s="39">
        <f t="shared" si="4"/>
        <v>2000000</v>
      </c>
      <c r="K25" s="32">
        <f>SUM(H25:J25)</f>
        <v>2000000</v>
      </c>
    </row>
    <row r="26" spans="1:11" ht="18" customHeight="1" x14ac:dyDescent="0.3">
      <c r="A26" s="26"/>
      <c r="B26" s="33"/>
      <c r="C26" s="34" t="s">
        <v>48</v>
      </c>
      <c r="D26" s="35"/>
      <c r="E26" s="29"/>
      <c r="F26" s="36"/>
      <c r="G26" s="36" t="s">
        <v>47</v>
      </c>
      <c r="H26" s="37"/>
      <c r="I26" s="37"/>
      <c r="J26" s="37">
        <f>2000000</f>
        <v>2000000</v>
      </c>
      <c r="K26" s="38">
        <f t="shared" si="0"/>
        <v>2000000</v>
      </c>
    </row>
    <row r="27" spans="1:11" ht="18" customHeight="1" x14ac:dyDescent="0.3">
      <c r="A27" s="26"/>
      <c r="B27" s="33"/>
      <c r="C27" s="34" t="s">
        <v>49</v>
      </c>
      <c r="D27" s="35">
        <v>23520000</v>
      </c>
      <c r="E27" s="29"/>
      <c r="F27" s="30" t="s">
        <v>50</v>
      </c>
      <c r="G27" s="30"/>
      <c r="H27" s="39">
        <f>H28</f>
        <v>0</v>
      </c>
      <c r="I27" s="39">
        <f t="shared" ref="I27:J27" si="5">I28</f>
        <v>0</v>
      </c>
      <c r="J27" s="39">
        <f t="shared" si="5"/>
        <v>11000000</v>
      </c>
      <c r="K27" s="32">
        <f>SUM(H27:J27)</f>
        <v>11000000</v>
      </c>
    </row>
    <row r="28" spans="1:11" ht="18" customHeight="1" x14ac:dyDescent="0.3">
      <c r="A28" s="26"/>
      <c r="B28" s="33"/>
      <c r="C28" s="34" t="s">
        <v>51</v>
      </c>
      <c r="D28" s="35">
        <v>2400000</v>
      </c>
      <c r="E28" s="29"/>
      <c r="F28" s="36"/>
      <c r="G28" s="36" t="s">
        <v>50</v>
      </c>
      <c r="H28" s="37"/>
      <c r="I28" s="37"/>
      <c r="J28" s="37">
        <f>11000000</f>
        <v>11000000</v>
      </c>
      <c r="K28" s="38">
        <f t="shared" si="0"/>
        <v>11000000</v>
      </c>
    </row>
    <row r="29" spans="1:11" ht="18" customHeight="1" x14ac:dyDescent="0.3">
      <c r="A29" s="26"/>
      <c r="B29" s="33"/>
      <c r="C29" s="34"/>
      <c r="D29" s="35"/>
      <c r="E29" s="23" t="s">
        <v>52</v>
      </c>
      <c r="F29" s="24"/>
      <c r="G29" s="24"/>
      <c r="H29" s="21">
        <f>H30+H38+H42</f>
        <v>291888440</v>
      </c>
      <c r="I29" s="21">
        <f>I30+I38+I42</f>
        <v>29710000</v>
      </c>
      <c r="J29" s="21">
        <f>J30+J38+J42</f>
        <v>115162000</v>
      </c>
      <c r="K29" s="25">
        <f>K30+K38+K42</f>
        <v>436760440</v>
      </c>
    </row>
    <row r="30" spans="1:11" ht="18" customHeight="1" x14ac:dyDescent="0.3">
      <c r="A30" s="42"/>
      <c r="B30" s="43"/>
      <c r="C30" s="43"/>
      <c r="D30" s="44"/>
      <c r="E30" s="29"/>
      <c r="F30" s="30" t="s">
        <v>30</v>
      </c>
      <c r="G30" s="30"/>
      <c r="H30" s="31">
        <f>SUM(H31:H37)</f>
        <v>196548440</v>
      </c>
      <c r="I30" s="31">
        <f t="shared" ref="I30:J30" si="6">SUM(I31:I37)</f>
        <v>9250000</v>
      </c>
      <c r="J30" s="31">
        <f t="shared" si="6"/>
        <v>53120000</v>
      </c>
      <c r="K30" s="32">
        <f>SUM(H30:J30)</f>
        <v>258918440</v>
      </c>
    </row>
    <row r="31" spans="1:11" ht="18" customHeight="1" x14ac:dyDescent="0.3">
      <c r="A31" s="45"/>
      <c r="B31" s="46"/>
      <c r="C31" s="46"/>
      <c r="D31" s="47"/>
      <c r="E31" s="29"/>
      <c r="F31" s="36"/>
      <c r="G31" s="36" t="s">
        <v>53</v>
      </c>
      <c r="H31" s="37">
        <v>91721040</v>
      </c>
      <c r="I31" s="37">
        <v>3000000</v>
      </c>
      <c r="J31" s="37">
        <f>35520000+3000000</f>
        <v>38520000</v>
      </c>
      <c r="K31" s="38">
        <f t="shared" si="0"/>
        <v>133241040</v>
      </c>
    </row>
    <row r="32" spans="1:11" ht="18" customHeight="1" x14ac:dyDescent="0.3">
      <c r="A32" s="45"/>
      <c r="B32" s="46"/>
      <c r="C32" s="46"/>
      <c r="D32" s="47"/>
      <c r="E32" s="29"/>
      <c r="F32" s="36"/>
      <c r="G32" s="36" t="s">
        <v>54</v>
      </c>
      <c r="H32" s="37">
        <v>22452400</v>
      </c>
      <c r="I32" s="37"/>
      <c r="J32" s="37">
        <f>2900000</f>
        <v>2900000</v>
      </c>
      <c r="K32" s="38">
        <f t="shared" si="0"/>
        <v>25352400</v>
      </c>
    </row>
    <row r="33" spans="1:11" ht="18" customHeight="1" x14ac:dyDescent="0.3">
      <c r="A33" s="45"/>
      <c r="B33" s="46"/>
      <c r="C33" s="46"/>
      <c r="D33" s="47"/>
      <c r="E33" s="29"/>
      <c r="F33" s="36"/>
      <c r="G33" s="36" t="s">
        <v>55</v>
      </c>
      <c r="H33" s="37">
        <v>22750000</v>
      </c>
      <c r="I33" s="37"/>
      <c r="J33" s="37"/>
      <c r="K33" s="38">
        <f t="shared" si="0"/>
        <v>22750000</v>
      </c>
    </row>
    <row r="34" spans="1:11" ht="18" customHeight="1" x14ac:dyDescent="0.3">
      <c r="A34" s="45"/>
      <c r="B34" s="46"/>
      <c r="C34" s="46"/>
      <c r="D34" s="47"/>
      <c r="E34" s="29"/>
      <c r="F34" s="36"/>
      <c r="G34" s="36" t="s">
        <v>56</v>
      </c>
      <c r="H34" s="37">
        <v>3000000</v>
      </c>
      <c r="I34" s="37">
        <v>1000000</v>
      </c>
      <c r="J34" s="37">
        <f>1000000</f>
        <v>1000000</v>
      </c>
      <c r="K34" s="38">
        <f t="shared" si="0"/>
        <v>5000000</v>
      </c>
    </row>
    <row r="35" spans="1:11" ht="18" customHeight="1" x14ac:dyDescent="0.3">
      <c r="A35" s="45"/>
      <c r="B35" s="46"/>
      <c r="C35" s="46"/>
      <c r="D35" s="47"/>
      <c r="E35" s="29"/>
      <c r="F35" s="36"/>
      <c r="G35" s="36" t="s">
        <v>57</v>
      </c>
      <c r="H35" s="37">
        <v>1100000</v>
      </c>
      <c r="I35" s="37">
        <v>3050000</v>
      </c>
      <c r="J35" s="37">
        <f>6000000</f>
        <v>6000000</v>
      </c>
      <c r="K35" s="38">
        <f t="shared" si="0"/>
        <v>10150000</v>
      </c>
    </row>
    <row r="36" spans="1:11" ht="18" customHeight="1" x14ac:dyDescent="0.3">
      <c r="A36" s="45"/>
      <c r="B36" s="46"/>
      <c r="C36" s="46"/>
      <c r="D36" s="47"/>
      <c r="E36" s="29"/>
      <c r="F36" s="36"/>
      <c r="G36" s="36" t="s">
        <v>58</v>
      </c>
      <c r="H36" s="37">
        <v>38325000</v>
      </c>
      <c r="I36" s="37">
        <v>1200000</v>
      </c>
      <c r="J36" s="37">
        <f>4700000</f>
        <v>4700000</v>
      </c>
      <c r="K36" s="38">
        <f t="shared" si="0"/>
        <v>44225000</v>
      </c>
    </row>
    <row r="37" spans="1:11" ht="18" customHeight="1" x14ac:dyDescent="0.3">
      <c r="A37" s="45"/>
      <c r="B37" s="46"/>
      <c r="C37" s="46"/>
      <c r="D37" s="47"/>
      <c r="E37" s="29"/>
      <c r="F37" s="36"/>
      <c r="G37" s="36" t="s">
        <v>59</v>
      </c>
      <c r="H37" s="37">
        <v>17200000</v>
      </c>
      <c r="I37" s="37">
        <v>1000000</v>
      </c>
      <c r="J37" s="37"/>
      <c r="K37" s="38">
        <f t="shared" si="0"/>
        <v>18200000</v>
      </c>
    </row>
    <row r="38" spans="1:11" ht="18" customHeight="1" x14ac:dyDescent="0.3">
      <c r="A38" s="45"/>
      <c r="B38" s="46"/>
      <c r="C38" s="46"/>
      <c r="D38" s="47"/>
      <c r="E38" s="29"/>
      <c r="F38" s="30" t="s">
        <v>60</v>
      </c>
      <c r="G38" s="30"/>
      <c r="H38" s="39">
        <f>SUM(H39:H41)</f>
        <v>44340000</v>
      </c>
      <c r="I38" s="39">
        <f>SUM(I39:I41)</f>
        <v>5740000</v>
      </c>
      <c r="J38" s="39">
        <f>SUM(J39:J41)</f>
        <v>46997000</v>
      </c>
      <c r="K38" s="32">
        <f>SUM(H38:J38)</f>
        <v>97077000</v>
      </c>
    </row>
    <row r="39" spans="1:11" ht="18" customHeight="1" x14ac:dyDescent="0.3">
      <c r="A39" s="45"/>
      <c r="B39" s="46"/>
      <c r="C39" s="46"/>
      <c r="D39" s="47"/>
      <c r="E39" s="29"/>
      <c r="F39" s="36"/>
      <c r="G39" s="36" t="s">
        <v>61</v>
      </c>
      <c r="H39" s="37">
        <v>31200000</v>
      </c>
      <c r="I39" s="37"/>
      <c r="J39" s="37"/>
      <c r="K39" s="38">
        <f t="shared" si="0"/>
        <v>31200000</v>
      </c>
    </row>
    <row r="40" spans="1:11" ht="18" customHeight="1" x14ac:dyDescent="0.3">
      <c r="A40" s="45"/>
      <c r="B40" s="46"/>
      <c r="C40" s="46"/>
      <c r="D40" s="47"/>
      <c r="E40" s="29"/>
      <c r="F40" s="36"/>
      <c r="G40" s="36" t="s">
        <v>62</v>
      </c>
      <c r="H40" s="37">
        <v>10500000</v>
      </c>
      <c r="I40" s="37">
        <v>4000000</v>
      </c>
      <c r="J40" s="37">
        <f>6615000</f>
        <v>6615000</v>
      </c>
      <c r="K40" s="38">
        <f t="shared" si="0"/>
        <v>21115000</v>
      </c>
    </row>
    <row r="41" spans="1:11" ht="18" customHeight="1" x14ac:dyDescent="0.3">
      <c r="A41" s="45"/>
      <c r="B41" s="46"/>
      <c r="C41" s="46"/>
      <c r="D41" s="47"/>
      <c r="E41" s="29"/>
      <c r="F41" s="36"/>
      <c r="G41" s="36" t="s">
        <v>63</v>
      </c>
      <c r="H41" s="37">
        <v>2640000</v>
      </c>
      <c r="I41" s="37">
        <v>1740000</v>
      </c>
      <c r="J41" s="37">
        <f>40382000</f>
        <v>40382000</v>
      </c>
      <c r="K41" s="38">
        <f t="shared" si="0"/>
        <v>44762000</v>
      </c>
    </row>
    <row r="42" spans="1:11" ht="18" customHeight="1" x14ac:dyDescent="0.3">
      <c r="A42" s="45"/>
      <c r="B42" s="46"/>
      <c r="C42" s="46"/>
      <c r="D42" s="47"/>
      <c r="E42" s="29" t="s">
        <v>26</v>
      </c>
      <c r="F42" s="30" t="s">
        <v>52</v>
      </c>
      <c r="G42" s="30"/>
      <c r="H42" s="31">
        <f>SUM(H43:H47)</f>
        <v>51000000</v>
      </c>
      <c r="I42" s="39">
        <f>SUM(I43:I47)</f>
        <v>14720000</v>
      </c>
      <c r="J42" s="39">
        <f>SUM(J43:J47)</f>
        <v>15045000</v>
      </c>
      <c r="K42" s="32">
        <f>SUM(H42:J42)</f>
        <v>80765000</v>
      </c>
    </row>
    <row r="43" spans="1:11" ht="18" customHeight="1" x14ac:dyDescent="0.3">
      <c r="A43" s="45"/>
      <c r="B43" s="46"/>
      <c r="C43" s="46"/>
      <c r="D43" s="47"/>
      <c r="E43" s="29"/>
      <c r="F43" s="36"/>
      <c r="G43" s="36" t="s">
        <v>64</v>
      </c>
      <c r="H43" s="37">
        <v>3000000</v>
      </c>
      <c r="I43" s="37">
        <v>1000000</v>
      </c>
      <c r="J43" s="37">
        <f>11685000</f>
        <v>11685000</v>
      </c>
      <c r="K43" s="38">
        <f t="shared" si="0"/>
        <v>15685000</v>
      </c>
    </row>
    <row r="44" spans="1:11" ht="18" customHeight="1" x14ac:dyDescent="0.3">
      <c r="A44" s="45"/>
      <c r="B44" s="46"/>
      <c r="C44" s="46"/>
      <c r="D44" s="47"/>
      <c r="E44" s="29"/>
      <c r="F44" s="36"/>
      <c r="G44" s="36" t="s">
        <v>65</v>
      </c>
      <c r="H44" s="37"/>
      <c r="I44" s="37"/>
      <c r="J44" s="37">
        <f>1060000</f>
        <v>1060000</v>
      </c>
      <c r="K44" s="38">
        <f t="shared" si="0"/>
        <v>1060000</v>
      </c>
    </row>
    <row r="45" spans="1:11" ht="18" customHeight="1" x14ac:dyDescent="0.3">
      <c r="A45" s="45"/>
      <c r="B45" s="46"/>
      <c r="C45" s="46"/>
      <c r="D45" s="47"/>
      <c r="E45" s="29"/>
      <c r="F45" s="36"/>
      <c r="G45" s="36" t="s">
        <v>66</v>
      </c>
      <c r="H45" s="37"/>
      <c r="I45" s="37"/>
      <c r="J45" s="37">
        <f>1500000</f>
        <v>1500000</v>
      </c>
      <c r="K45" s="38">
        <f t="shared" si="0"/>
        <v>1500000</v>
      </c>
    </row>
    <row r="46" spans="1:11" ht="18" customHeight="1" x14ac:dyDescent="0.3">
      <c r="A46" s="45"/>
      <c r="B46" s="46"/>
      <c r="C46" s="46"/>
      <c r="D46" s="47"/>
      <c r="E46" s="29"/>
      <c r="F46" s="36"/>
      <c r="G46" s="36" t="s">
        <v>67</v>
      </c>
      <c r="H46" s="37">
        <v>33000000</v>
      </c>
      <c r="I46" s="37">
        <v>13720000</v>
      </c>
      <c r="J46" s="37">
        <f>800000</f>
        <v>800000</v>
      </c>
      <c r="K46" s="38">
        <f t="shared" si="0"/>
        <v>47520000</v>
      </c>
    </row>
    <row r="47" spans="1:11" ht="18" customHeight="1" x14ac:dyDescent="0.3">
      <c r="A47" s="45"/>
      <c r="B47" s="46"/>
      <c r="C47" s="46"/>
      <c r="D47" s="47"/>
      <c r="E47" s="29"/>
      <c r="F47" s="36"/>
      <c r="G47" s="36" t="s">
        <v>68</v>
      </c>
      <c r="H47" s="37">
        <v>15000000</v>
      </c>
      <c r="I47" s="37"/>
      <c r="J47" s="37"/>
      <c r="K47" s="38">
        <f t="shared" si="0"/>
        <v>15000000</v>
      </c>
    </row>
    <row r="48" spans="1:11" ht="18" customHeight="1" x14ac:dyDescent="0.3">
      <c r="A48" s="45"/>
      <c r="B48" s="46"/>
      <c r="C48" s="46"/>
      <c r="D48" s="47"/>
      <c r="E48" s="23" t="s">
        <v>69</v>
      </c>
      <c r="F48" s="24"/>
      <c r="G48" s="24"/>
      <c r="H48" s="40">
        <f t="shared" ref="H48:J49" si="7">H49</f>
        <v>0</v>
      </c>
      <c r="I48" s="40">
        <f t="shared" si="7"/>
        <v>0</v>
      </c>
      <c r="J48" s="48">
        <f t="shared" si="7"/>
        <v>0</v>
      </c>
      <c r="K48" s="41">
        <f>H48+I48+J48</f>
        <v>0</v>
      </c>
    </row>
    <row r="49" spans="1:11" ht="18" customHeight="1" x14ac:dyDescent="0.3">
      <c r="A49" s="45"/>
      <c r="B49" s="46"/>
      <c r="C49" s="46"/>
      <c r="D49" s="47"/>
      <c r="E49" s="29"/>
      <c r="F49" s="30" t="s">
        <v>69</v>
      </c>
      <c r="G49" s="30"/>
      <c r="H49" s="39">
        <f t="shared" si="7"/>
        <v>0</v>
      </c>
      <c r="I49" s="39">
        <f>I50</f>
        <v>0</v>
      </c>
      <c r="J49" s="39">
        <f>J50</f>
        <v>0</v>
      </c>
      <c r="K49" s="49">
        <f>H49+I49+J49</f>
        <v>0</v>
      </c>
    </row>
    <row r="50" spans="1:11" ht="18" customHeight="1" thickBot="1" x14ac:dyDescent="0.35">
      <c r="A50" s="50"/>
      <c r="B50" s="51"/>
      <c r="C50" s="51"/>
      <c r="D50" s="52"/>
      <c r="E50" s="53"/>
      <c r="F50" s="54"/>
      <c r="G50" s="54" t="s">
        <v>69</v>
      </c>
      <c r="H50" s="55">
        <v>0</v>
      </c>
      <c r="I50" s="55"/>
      <c r="J50" s="55"/>
      <c r="K50" s="56">
        <f>H50+I50+J50</f>
        <v>0</v>
      </c>
    </row>
    <row r="51" spans="1:11" ht="18" customHeight="1" x14ac:dyDescent="0.3"/>
    <row r="52" spans="1:11" ht="18" customHeight="1" x14ac:dyDescent="0.3"/>
    <row r="53" spans="1:11" ht="18" customHeight="1" x14ac:dyDescent="0.3"/>
  </sheetData>
  <mergeCells count="3">
    <mergeCell ref="A1:K1"/>
    <mergeCell ref="A4:C4"/>
    <mergeCell ref="E4:G4"/>
  </mergeCells>
  <phoneticPr fontId="3" type="noConversion"/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2024-01-26T10:52:20Z</dcterms:created>
  <dcterms:modified xsi:type="dcterms:W3CDTF">2024-01-26T10:53:58Z</dcterms:modified>
</cp:coreProperties>
</file>